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3995" windowHeight="8445" activeTab="1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22" i="2"/>
  <c r="E32" s="1"/>
  <c r="G26"/>
  <c r="B7" i="1" l="1"/>
  <c r="K2"/>
  <c r="B16"/>
  <c r="B14" s="1"/>
  <c r="B15" s="1"/>
  <c r="B17" s="1"/>
  <c r="K22" i="2"/>
  <c r="K23" s="1"/>
  <c r="I22"/>
  <c r="I23" s="1"/>
  <c r="E19"/>
  <c r="E18"/>
  <c r="E17"/>
  <c r="J10"/>
  <c r="D33" s="1"/>
  <c r="G33" s="1"/>
  <c r="I10"/>
  <c r="C33" s="1"/>
  <c r="F33" s="1"/>
  <c r="G10"/>
  <c r="H10" s="1"/>
  <c r="F10"/>
  <c r="J9"/>
  <c r="D32" s="1"/>
  <c r="G32" s="1"/>
  <c r="I9"/>
  <c r="C32" s="1"/>
  <c r="F32" s="1"/>
  <c r="G9"/>
  <c r="H9" s="1"/>
  <c r="F9"/>
  <c r="J8"/>
  <c r="D31" s="1"/>
  <c r="G31" s="1"/>
  <c r="I8"/>
  <c r="C31" s="1"/>
  <c r="F31" s="1"/>
  <c r="G8"/>
  <c r="H8" s="1"/>
  <c r="F8"/>
  <c r="J7"/>
  <c r="D30" s="1"/>
  <c r="G30" s="1"/>
  <c r="I7"/>
  <c r="C30" s="1"/>
  <c r="F30" s="1"/>
  <c r="G7"/>
  <c r="H7" s="1"/>
  <c r="F7"/>
  <c r="J6"/>
  <c r="D29" s="1"/>
  <c r="G29" s="1"/>
  <c r="I6"/>
  <c r="C29" s="1"/>
  <c r="F29" s="1"/>
  <c r="G6"/>
  <c r="H6" s="1"/>
  <c r="F6"/>
  <c r="J5"/>
  <c r="D28" s="1"/>
  <c r="G28" s="1"/>
  <c r="I5"/>
  <c r="C28" s="1"/>
  <c r="F28" s="1"/>
  <c r="G5"/>
  <c r="H5" s="1"/>
  <c r="F5"/>
  <c r="J4"/>
  <c r="D27" s="1"/>
  <c r="G27" s="1"/>
  <c r="I4"/>
  <c r="C27" s="1"/>
  <c r="F27" s="1"/>
  <c r="G4"/>
  <c r="H4" s="1"/>
  <c r="F4"/>
  <c r="J3"/>
  <c r="I3"/>
  <c r="C26" s="1"/>
  <c r="F26" s="1"/>
  <c r="G3"/>
  <c r="H3" s="1"/>
  <c r="F3"/>
  <c r="B11" i="1"/>
  <c r="B10"/>
  <c r="B4"/>
  <c r="E33" i="2" l="1"/>
  <c r="E31"/>
  <c r="H31" s="1"/>
  <c r="E29"/>
  <c r="E27"/>
  <c r="H27" s="1"/>
  <c r="M33"/>
  <c r="M31"/>
  <c r="M29"/>
  <c r="M27"/>
  <c r="E26"/>
  <c r="E30"/>
  <c r="E28"/>
  <c r="M26"/>
  <c r="M32"/>
  <c r="M30"/>
  <c r="M28"/>
  <c r="H33"/>
  <c r="I33" s="1"/>
  <c r="H29"/>
  <c r="I29" s="1"/>
  <c r="H26"/>
  <c r="I26" s="1"/>
  <c r="H32"/>
  <c r="I32" s="1"/>
  <c r="H30"/>
  <c r="I30" s="1"/>
  <c r="H28"/>
  <c r="I28" s="1"/>
  <c r="L33"/>
  <c r="L32"/>
  <c r="J32" s="1"/>
  <c r="L31"/>
  <c r="J31" s="1"/>
  <c r="L30"/>
  <c r="J30" s="1"/>
  <c r="L29"/>
  <c r="J29" s="1"/>
  <c r="L28"/>
  <c r="J28" s="1"/>
  <c r="O33"/>
  <c r="O30"/>
  <c r="O29"/>
  <c r="J33"/>
  <c r="N33"/>
  <c r="N30"/>
  <c r="N29"/>
  <c r="O26"/>
  <c r="L27"/>
  <c r="J27" s="1"/>
  <c r="L26"/>
  <c r="J26" s="1"/>
  <c r="N26"/>
  <c r="C11" i="1"/>
  <c r="I27" i="2" l="1"/>
  <c r="O27"/>
  <c r="I31"/>
  <c r="O31"/>
  <c r="N31"/>
  <c r="N27"/>
  <c r="N28"/>
  <c r="N32"/>
  <c r="O28"/>
  <c r="O32"/>
  <c r="P32" s="1"/>
  <c r="K32" s="1"/>
  <c r="P30"/>
  <c r="K30" s="1"/>
  <c r="P27"/>
  <c r="K27" s="1"/>
  <c r="P29"/>
  <c r="K29" s="1"/>
  <c r="P31"/>
  <c r="K31" s="1"/>
  <c r="P33"/>
  <c r="K33" s="1"/>
  <c r="P26"/>
  <c r="K26" s="1"/>
  <c r="P28" l="1"/>
  <c r="K28" s="1"/>
</calcChain>
</file>

<file path=xl/comments1.xml><?xml version="1.0" encoding="utf-8"?>
<comments xmlns="http://schemas.openxmlformats.org/spreadsheetml/2006/main">
  <authors>
    <author>Bernard</author>
  </authors>
  <commentList>
    <comment ref="I1" authorId="0">
      <text>
        <r>
          <rPr>
            <b/>
            <sz val="8"/>
            <color indexed="81"/>
            <rFont val="Tahoma"/>
            <family val="2"/>
          </rPr>
          <t>action de la ferrure sur la traverse gauche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>action de la ferrure sur la traverse gauche</t>
        </r>
      </text>
    </comment>
    <comment ref="C24" authorId="0">
      <text>
        <r>
          <rPr>
            <b/>
            <sz val="8"/>
            <color indexed="81"/>
            <rFont val="Tahoma"/>
            <family val="2"/>
          </rPr>
          <t>action de la ferrure sur la traverse gauche</t>
        </r>
      </text>
    </comment>
    <comment ref="D24" authorId="0">
      <text>
        <r>
          <rPr>
            <b/>
            <sz val="8"/>
            <color indexed="81"/>
            <rFont val="Tahoma"/>
            <family val="2"/>
          </rPr>
          <t>action de la ferrure sur la traverse gauche</t>
        </r>
      </text>
    </comment>
  </commentList>
</comments>
</file>

<file path=xl/sharedStrings.xml><?xml version="1.0" encoding="utf-8"?>
<sst xmlns="http://schemas.openxmlformats.org/spreadsheetml/2006/main" count="102" uniqueCount="74">
  <si>
    <t>cisaillement</t>
  </si>
  <si>
    <t>d</t>
  </si>
  <si>
    <t>fup</t>
  </si>
  <si>
    <t>Fv,RD</t>
  </si>
  <si>
    <t>Gamma M2</t>
  </si>
  <si>
    <t>pression diamétrale</t>
  </si>
  <si>
    <t>t</t>
  </si>
  <si>
    <t>Nbre de plaques</t>
  </si>
  <si>
    <t>Fb,Rd</t>
  </si>
  <si>
    <t>Gamma M0</t>
  </si>
  <si>
    <t>fy</t>
  </si>
  <si>
    <t>Moment</t>
  </si>
  <si>
    <t>Mrd</t>
  </si>
  <si>
    <t>Med</t>
  </si>
  <si>
    <t>Fed</t>
  </si>
  <si>
    <t>a</t>
  </si>
  <si>
    <t>b</t>
  </si>
  <si>
    <t>c</t>
  </si>
  <si>
    <t>Axe central</t>
  </si>
  <si>
    <t>Combi</t>
  </si>
  <si>
    <r>
      <t>k</t>
    </r>
    <r>
      <rPr>
        <vertAlign val="subscript"/>
        <sz val="11"/>
        <color theme="1"/>
        <rFont val="Times New Roman"/>
        <family val="1"/>
      </rPr>
      <t>mod</t>
    </r>
  </si>
  <si>
    <t>N</t>
  </si>
  <si>
    <t>V</t>
  </si>
  <si>
    <t>F</t>
  </si>
  <si>
    <t>inclinaison de l’effort</t>
  </si>
  <si>
    <r>
      <t>F</t>
    </r>
    <r>
      <rPr>
        <vertAlign val="subscript"/>
        <sz val="11"/>
        <color theme="1"/>
        <rFont val="Times New Roman"/>
        <family val="1"/>
      </rPr>
      <t>x</t>
    </r>
  </si>
  <si>
    <r>
      <t>F</t>
    </r>
    <r>
      <rPr>
        <vertAlign val="subscript"/>
        <sz val="11"/>
        <color theme="1"/>
        <rFont val="Times New Roman"/>
        <family val="1"/>
      </rPr>
      <t>y</t>
    </r>
  </si>
  <si>
    <t>n°</t>
  </si>
  <si>
    <t>(kN)</t>
  </si>
  <si>
    <r>
      <t>a/</t>
    </r>
    <r>
      <rPr>
        <sz val="11"/>
        <color theme="1"/>
        <rFont val="Times New Roman"/>
        <family val="1"/>
      </rPr>
      <t>trav G (°)</t>
    </r>
  </si>
  <si>
    <r>
      <t>b/</t>
    </r>
    <r>
      <rPr>
        <sz val="11"/>
        <color theme="1"/>
        <rFont val="Times New Roman"/>
        <family val="1"/>
      </rPr>
      <t>x (°)</t>
    </r>
  </si>
  <si>
    <t>1,35G+1,5S</t>
  </si>
  <si>
    <t>G+1,5Wp+</t>
  </si>
  <si>
    <t>G+1,5(WLp-G+D-)</t>
  </si>
  <si>
    <t>1,35G+1,5(WLp-G+D+)</t>
  </si>
  <si>
    <t>1,35G+1,5S+0,9(WLp-G+D-)</t>
  </si>
  <si>
    <t>1,35G+1,5S+0,9(WLp-G+D+)</t>
  </si>
  <si>
    <t>1,35G+1,5(WLp-G+D-)+0,75S</t>
  </si>
  <si>
    <t>1,35G+1,5(WLp-G+D+)+0,75S</t>
  </si>
  <si>
    <t>INCLINAISON DE LA TRAVERSE / HORIZONTALE</t>
  </si>
  <si>
    <t>CELLULE GRISE   --&gt;  A RENSEIGNER</t>
  </si>
  <si>
    <t>INCLINAISON DU FIL DU BOIS / HORIZONTALE</t>
  </si>
  <si>
    <t>INCLINAISON DE LA FACE DU TUBE / HORIZONTALE</t>
  </si>
  <si>
    <t>alpha tube - alpha traverse</t>
  </si>
  <si>
    <t>alpha effort / fil du bois</t>
  </si>
  <si>
    <t>face sup du tube</t>
  </si>
  <si>
    <t>position du baricentre des broches</t>
  </si>
  <si>
    <t>Dx</t>
  </si>
  <si>
    <t>Dy</t>
  </si>
  <si>
    <t>Mt</t>
  </si>
  <si>
    <r>
      <t>R</t>
    </r>
    <r>
      <rPr>
        <vertAlign val="subscript"/>
        <sz val="11"/>
        <color theme="1"/>
        <rFont val="Times New Roman"/>
        <family val="1"/>
      </rPr>
      <t>x</t>
    </r>
  </si>
  <si>
    <r>
      <t>R</t>
    </r>
    <r>
      <rPr>
        <vertAlign val="subscript"/>
        <sz val="11"/>
        <color theme="1"/>
        <rFont val="Times New Roman"/>
        <family val="1"/>
      </rPr>
      <t>y</t>
    </r>
  </si>
  <si>
    <t>(m,kN)</t>
  </si>
  <si>
    <t>fx</t>
  </si>
  <si>
    <t>fm</t>
  </si>
  <si>
    <t>h</t>
  </si>
  <si>
    <t>r</t>
  </si>
  <si>
    <t>alpha</t>
  </si>
  <si>
    <t>alpha (rd)</t>
  </si>
  <si>
    <t>alpha (°)</t>
  </si>
  <si>
    <t>N° boulon</t>
  </si>
  <si>
    <t>Rx*Mt</t>
  </si>
  <si>
    <t>Rx*Ry</t>
  </si>
  <si>
    <t xml:space="preserve">recherche </t>
  </si>
  <si>
    <t>boulon</t>
  </si>
  <si>
    <t>avec Fmax</t>
  </si>
  <si>
    <t>Fx</t>
  </si>
  <si>
    <t>Fy</t>
  </si>
  <si>
    <t>ligne moyenne</t>
  </si>
  <si>
    <t>Chape</t>
  </si>
  <si>
    <t>d0</t>
  </si>
  <si>
    <t>2c+d0</t>
  </si>
  <si>
    <t>n</t>
  </si>
  <si>
    <t>Fmaxi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</si>
</sst>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b/>
      <sz val="8"/>
      <color indexed="81"/>
      <name val="Tahoma"/>
      <family val="2"/>
    </font>
    <font>
      <b/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4" xfId="0" applyBorder="1"/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 wrapText="1"/>
    </xf>
    <xf numFmtId="2" fontId="0" fillId="0" borderId="4" xfId="0" applyNumberForma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0" fillId="2" borderId="4" xfId="0" applyFill="1" applyBorder="1"/>
    <xf numFmtId="0" fontId="0" fillId="0" borderId="0" xfId="0" applyFill="1" applyBorder="1" applyAlignment="1">
      <alignment horizontal="right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0" xfId="0" applyNumberFormat="1"/>
    <xf numFmtId="0" fontId="4" fillId="0" borderId="4" xfId="0" applyFont="1" applyBorder="1" applyAlignment="1">
      <alignment horizontal="center"/>
    </xf>
    <xf numFmtId="0" fontId="0" fillId="0" borderId="15" xfId="0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4" fillId="0" borderId="15" xfId="0" applyFont="1" applyFill="1" applyBorder="1" applyAlignment="1">
      <alignment horizontal="center"/>
    </xf>
    <xf numFmtId="0" fontId="0" fillId="2" borderId="16" xfId="0" applyFill="1" applyBorder="1"/>
    <xf numFmtId="1" fontId="0" fillId="2" borderId="16" xfId="0" applyNumberFormat="1" applyFill="1" applyBorder="1"/>
    <xf numFmtId="0" fontId="0" fillId="2" borderId="17" xfId="0" applyFill="1" applyBorder="1"/>
    <xf numFmtId="1" fontId="0" fillId="2" borderId="17" xfId="0" applyNumberFormat="1" applyFill="1" applyBorder="1"/>
    <xf numFmtId="0" fontId="0" fillId="2" borderId="18" xfId="0" applyFill="1" applyBorder="1"/>
    <xf numFmtId="0" fontId="0" fillId="2" borderId="0" xfId="0" applyFill="1" applyBorder="1"/>
    <xf numFmtId="2" fontId="4" fillId="0" borderId="0" xfId="0" applyNumberFormat="1" applyFont="1" applyFill="1" applyBorder="1" applyAlignment="1">
      <alignment horizontal="center"/>
    </xf>
    <xf numFmtId="2" fontId="0" fillId="2" borderId="4" xfId="0" applyNumberFormat="1" applyFill="1" applyBorder="1"/>
    <xf numFmtId="0" fontId="1" fillId="0" borderId="4" xfId="0" applyFont="1" applyBorder="1" applyAlignment="1">
      <alignment horizontal="center"/>
    </xf>
    <xf numFmtId="0" fontId="0" fillId="0" borderId="0" xfId="0" applyFill="1"/>
    <xf numFmtId="0" fontId="4" fillId="0" borderId="5" xfId="0" applyFont="1" applyBorder="1" applyAlignment="1">
      <alignment horizontal="center" wrapText="1"/>
    </xf>
    <xf numFmtId="0" fontId="9" fillId="0" borderId="13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" fillId="0" borderId="19" xfId="0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D23" sqref="D23"/>
    </sheetView>
  </sheetViews>
  <sheetFormatPr baseColWidth="10" defaultRowHeight="15"/>
  <sheetData>
    <row r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2" t="s">
        <v>1</v>
      </c>
      <c r="B2" s="2">
        <v>30</v>
      </c>
      <c r="C2" s="2" t="s">
        <v>9</v>
      </c>
      <c r="D2" s="2">
        <v>1</v>
      </c>
      <c r="E2" s="2" t="s">
        <v>4</v>
      </c>
      <c r="F2" s="2">
        <v>1.25</v>
      </c>
      <c r="G2" s="2"/>
      <c r="H2" s="2" t="s">
        <v>14</v>
      </c>
      <c r="I2" s="2">
        <v>51000</v>
      </c>
      <c r="J2" s="2" t="s">
        <v>15</v>
      </c>
      <c r="K2" s="2">
        <f>F3</f>
        <v>15</v>
      </c>
    </row>
    <row r="3" spans="1:11">
      <c r="A3" s="2" t="s">
        <v>2</v>
      </c>
      <c r="B3" s="2">
        <v>360</v>
      </c>
      <c r="C3" s="2" t="s">
        <v>10</v>
      </c>
      <c r="D3" s="2">
        <v>235</v>
      </c>
      <c r="E3" s="2" t="s">
        <v>6</v>
      </c>
      <c r="F3" s="2">
        <v>15</v>
      </c>
      <c r="G3" s="2"/>
      <c r="H3" s="3" t="s">
        <v>7</v>
      </c>
      <c r="I3" s="2">
        <v>2</v>
      </c>
      <c r="J3" s="2" t="s">
        <v>16</v>
      </c>
      <c r="K3" s="2">
        <v>30</v>
      </c>
    </row>
    <row r="4" spans="1:11">
      <c r="A4" s="34" t="s">
        <v>3</v>
      </c>
      <c r="B4" s="35">
        <f>0.6*PI()*B2^2*B3/4/F2</f>
        <v>122145.12237157117</v>
      </c>
      <c r="C4" s="2"/>
      <c r="D4" s="2"/>
      <c r="E4" s="2"/>
      <c r="F4" s="2"/>
      <c r="G4" s="2"/>
      <c r="H4" s="2"/>
      <c r="I4" s="2"/>
      <c r="J4" s="2" t="s">
        <v>17</v>
      </c>
      <c r="K4" s="2">
        <v>2</v>
      </c>
    </row>
    <row r="5" spans="1:11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>
      <c r="A6" s="2" t="s">
        <v>5</v>
      </c>
      <c r="B6" s="2"/>
      <c r="C6" s="2"/>
      <c r="D6" s="2"/>
      <c r="E6" s="50" t="s">
        <v>18</v>
      </c>
      <c r="F6" s="50"/>
      <c r="G6" s="50"/>
      <c r="H6" s="2"/>
      <c r="I6" s="2"/>
      <c r="J6" s="2"/>
      <c r="K6" s="2"/>
    </row>
    <row r="7" spans="1:11">
      <c r="A7" s="34" t="s">
        <v>8</v>
      </c>
      <c r="B7" s="34">
        <f>1.5*F3*B2*D3/D2*I3</f>
        <v>317250</v>
      </c>
      <c r="C7" s="2"/>
      <c r="D7" s="2"/>
      <c r="E7" s="50"/>
      <c r="F7" s="50"/>
      <c r="G7" s="50"/>
      <c r="H7" s="2"/>
      <c r="I7" s="2"/>
      <c r="J7" s="2"/>
      <c r="K7" s="2"/>
    </row>
    <row r="8" spans="1:11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>
      <c r="A9" s="2" t="s">
        <v>11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6" t="s">
        <v>12</v>
      </c>
      <c r="B10" s="37">
        <f>1.5*PI()*B2^3/32*D3/D2</f>
        <v>934378.3775169017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>
      <c r="A11" s="38" t="s">
        <v>13</v>
      </c>
      <c r="B11" s="38">
        <f>I2/8*(K3+4*K4+2*K2)</f>
        <v>433500</v>
      </c>
      <c r="C11" s="2" t="str">
        <f>IF(B11&lt;B10,"OK","Aïe")</f>
        <v>OK</v>
      </c>
      <c r="D11" s="2"/>
      <c r="E11" s="2"/>
      <c r="F11" s="2"/>
      <c r="G11" s="2"/>
      <c r="H11" s="2"/>
      <c r="I11" s="2"/>
      <c r="J11" s="2"/>
      <c r="K11" s="2"/>
    </row>
    <row r="14" spans="1:11">
      <c r="A14" s="39" t="s">
        <v>15</v>
      </c>
      <c r="B14">
        <f>I2*D2/2/F3/D3+2*B16/3</f>
        <v>27.900709219858157</v>
      </c>
      <c r="E14" s="50" t="s">
        <v>69</v>
      </c>
      <c r="F14" s="50"/>
      <c r="G14" s="50"/>
    </row>
    <row r="15" spans="1:11">
      <c r="A15" s="39" t="s">
        <v>17</v>
      </c>
      <c r="B15">
        <f>B14-B16/3</f>
        <v>17.567375886524822</v>
      </c>
      <c r="E15" s="50"/>
      <c r="F15" s="50"/>
      <c r="G15" s="50"/>
    </row>
    <row r="16" spans="1:11">
      <c r="A16" s="39" t="s">
        <v>70</v>
      </c>
      <c r="B16">
        <f>B2+1</f>
        <v>31</v>
      </c>
    </row>
    <row r="17" spans="1:2">
      <c r="A17" s="39" t="s">
        <v>71</v>
      </c>
      <c r="B17">
        <f>B15*2+B16</f>
        <v>66.134751773049643</v>
      </c>
    </row>
  </sheetData>
  <mergeCells count="2">
    <mergeCell ref="E6:G7"/>
    <mergeCell ref="E14:G1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8"/>
  <sheetViews>
    <sheetView showGridLines="0" tabSelected="1" zoomScaleNormal="100" workbookViewId="0">
      <selection activeCell="B35" sqref="B35:E38"/>
    </sheetView>
  </sheetViews>
  <sheetFormatPr baseColWidth="10" defaultRowHeight="15"/>
  <cols>
    <col min="1" max="1" width="4" customWidth="1"/>
    <col min="2" max="2" width="29.7109375" customWidth="1"/>
    <col min="4" max="4" width="12.42578125" bestFit="1" customWidth="1"/>
    <col min="8" max="8" width="12" bestFit="1" customWidth="1"/>
  </cols>
  <sheetData>
    <row r="1" spans="1:10" ht="17.25" thickBot="1">
      <c r="A1" s="51" t="s">
        <v>19</v>
      </c>
      <c r="B1" s="52"/>
      <c r="C1" s="4" t="s">
        <v>20</v>
      </c>
      <c r="D1" s="5" t="s">
        <v>21</v>
      </c>
      <c r="E1" s="5" t="s">
        <v>22</v>
      </c>
      <c r="F1" s="5" t="s">
        <v>23</v>
      </c>
      <c r="G1" s="53" t="s">
        <v>24</v>
      </c>
      <c r="H1" s="54"/>
      <c r="I1" s="5" t="s">
        <v>25</v>
      </c>
      <c r="J1" s="6" t="s">
        <v>26</v>
      </c>
    </row>
    <row r="2" spans="1:10" ht="15.75" thickBot="1">
      <c r="A2" s="7" t="s">
        <v>27</v>
      </c>
      <c r="B2" s="8"/>
      <c r="C2" s="9"/>
      <c r="D2" s="10" t="s">
        <v>28</v>
      </c>
      <c r="E2" s="10" t="s">
        <v>28</v>
      </c>
      <c r="F2" s="10" t="s">
        <v>28</v>
      </c>
      <c r="G2" s="11" t="s">
        <v>29</v>
      </c>
      <c r="H2" s="11" t="s">
        <v>30</v>
      </c>
      <c r="I2" s="10" t="s">
        <v>28</v>
      </c>
      <c r="J2" s="10" t="s">
        <v>28</v>
      </c>
    </row>
    <row r="3" spans="1:10" ht="15.75" thickBot="1">
      <c r="A3" s="7">
        <v>1</v>
      </c>
      <c r="B3" s="12" t="s">
        <v>31</v>
      </c>
      <c r="C3" s="13">
        <v>0.9</v>
      </c>
      <c r="D3" s="14">
        <v>-23.45</v>
      </c>
      <c r="E3" s="14">
        <v>7.35</v>
      </c>
      <c r="F3" s="15">
        <f t="shared" ref="F3:F10" si="0">(D3^2+E3^2)^0.5</f>
        <v>24.57488555415874</v>
      </c>
      <c r="G3" s="16">
        <f t="shared" ref="G3:G10" si="1">ATAN(E3/D3)*180/PI()</f>
        <v>-17.402704131356284</v>
      </c>
      <c r="H3" s="16">
        <f t="shared" ref="H3:H10" si="2">$E$14+G3</f>
        <v>-2.7041313562854441E-3</v>
      </c>
      <c r="I3" s="17">
        <f t="shared" ref="I3:I10" si="3">D3*COS($E$14*PI()/180)-E3*SIN($E$14*PI()/180)</f>
        <v>-24.574885526788929</v>
      </c>
      <c r="J3" s="17">
        <f t="shared" ref="J3:J10" si="4">E3*COS($E$14*PI()/180)+D3*SIN($E$14*PI()/180)</f>
        <v>1.159836189403407E-3</v>
      </c>
    </row>
    <row r="4" spans="1:10" ht="15.75" thickBot="1">
      <c r="A4" s="7">
        <v>2</v>
      </c>
      <c r="B4" s="14" t="s">
        <v>32</v>
      </c>
      <c r="C4" s="13">
        <v>1.1000000000000001</v>
      </c>
      <c r="D4" s="14">
        <v>49.01</v>
      </c>
      <c r="E4" s="14">
        <v>-15.36</v>
      </c>
      <c r="F4" s="15">
        <f t="shared" si="0"/>
        <v>51.360585082337209</v>
      </c>
      <c r="G4" s="16">
        <f t="shared" si="1"/>
        <v>-17.401274211424631</v>
      </c>
      <c r="H4" s="16">
        <f t="shared" si="2"/>
        <v>-1.2742114246329095E-3</v>
      </c>
      <c r="I4" s="17">
        <f t="shared" si="3"/>
        <v>51.360585069636222</v>
      </c>
      <c r="J4" s="17">
        <f t="shared" si="4"/>
        <v>-1.1422175392059586E-3</v>
      </c>
    </row>
    <row r="5" spans="1:10" ht="15.75" thickBot="1">
      <c r="A5" s="7">
        <v>3</v>
      </c>
      <c r="B5" s="14" t="s">
        <v>33</v>
      </c>
      <c r="C5" s="13">
        <v>1.1000000000000001</v>
      </c>
      <c r="D5" s="14">
        <v>-9.1999999999999993</v>
      </c>
      <c r="E5" s="14">
        <v>35.21</v>
      </c>
      <c r="F5" s="15">
        <f t="shared" si="0"/>
        <v>36.392088425920271</v>
      </c>
      <c r="G5" s="16">
        <f t="shared" si="1"/>
        <v>-75.356605909139205</v>
      </c>
      <c r="H5" s="16">
        <f t="shared" si="2"/>
        <v>-57.956605909139206</v>
      </c>
      <c r="I5" s="17">
        <f t="shared" si="3"/>
        <v>-19.308237317686558</v>
      </c>
      <c r="J5" s="17">
        <f t="shared" si="4"/>
        <v>30.84762667830212</v>
      </c>
    </row>
    <row r="6" spans="1:10" ht="15.75" thickBot="1">
      <c r="A6" s="7">
        <v>4</v>
      </c>
      <c r="B6" s="14" t="s">
        <v>34</v>
      </c>
      <c r="C6" s="13">
        <v>1.1000000000000001</v>
      </c>
      <c r="D6" s="14">
        <v>-26.96</v>
      </c>
      <c r="E6" s="14">
        <v>24.94</v>
      </c>
      <c r="F6" s="15">
        <f t="shared" si="0"/>
        <v>36.726627942134847</v>
      </c>
      <c r="G6" s="16">
        <f t="shared" si="1"/>
        <v>-42.771115871764977</v>
      </c>
      <c r="H6" s="16">
        <f t="shared" si="2"/>
        <v>-25.371115871764978</v>
      </c>
      <c r="I6" s="17">
        <f t="shared" si="3"/>
        <v>-33.184396615665626</v>
      </c>
      <c r="J6" s="17">
        <f t="shared" si="4"/>
        <v>15.736614033971852</v>
      </c>
    </row>
    <row r="7" spans="1:10" ht="15.75" thickBot="1">
      <c r="A7" s="7">
        <v>5</v>
      </c>
      <c r="B7" s="14" t="s">
        <v>35</v>
      </c>
      <c r="C7" s="13">
        <v>1.1000000000000001</v>
      </c>
      <c r="D7" s="14">
        <v>-25.22</v>
      </c>
      <c r="E7" s="14">
        <v>27.3</v>
      </c>
      <c r="F7" s="15">
        <f t="shared" si="0"/>
        <v>37.166361134768088</v>
      </c>
      <c r="G7" s="16">
        <f t="shared" si="1"/>
        <v>-47.267954535905837</v>
      </c>
      <c r="H7" s="16">
        <f t="shared" si="2"/>
        <v>-29.867954535905838</v>
      </c>
      <c r="I7" s="17">
        <f t="shared" si="3"/>
        <v>-32.229754713771669</v>
      </c>
      <c r="J7" s="17">
        <f t="shared" si="4"/>
        <v>18.508952187795856</v>
      </c>
    </row>
    <row r="8" spans="1:10" ht="15.75" thickBot="1">
      <c r="A8" s="7">
        <v>6</v>
      </c>
      <c r="B8" s="14" t="s">
        <v>36</v>
      </c>
      <c r="C8" s="13">
        <v>1.1000000000000001</v>
      </c>
      <c r="D8" s="14">
        <v>-35.880000000000003</v>
      </c>
      <c r="E8" s="14">
        <v>21.14</v>
      </c>
      <c r="F8" s="15">
        <f t="shared" si="0"/>
        <v>41.644615498285013</v>
      </c>
      <c r="G8" s="16">
        <f t="shared" si="1"/>
        <v>-30.506004092774916</v>
      </c>
      <c r="H8" s="16">
        <f t="shared" si="2"/>
        <v>-13.106004092774917</v>
      </c>
      <c r="I8" s="17">
        <f t="shared" si="3"/>
        <v>-40.559865335457687</v>
      </c>
      <c r="J8" s="17">
        <f t="shared" si="4"/>
        <v>9.4430569186857056</v>
      </c>
    </row>
    <row r="9" spans="1:10" ht="15.75" thickBot="1">
      <c r="A9" s="7">
        <v>7</v>
      </c>
      <c r="B9" s="14" t="s">
        <v>37</v>
      </c>
      <c r="C9" s="13">
        <v>1.1000000000000001</v>
      </c>
      <c r="D9" s="14">
        <v>-17.8</v>
      </c>
      <c r="E9" s="14">
        <v>37.9</v>
      </c>
      <c r="F9" s="15">
        <f t="shared" si="0"/>
        <v>41.871828238088675</v>
      </c>
      <c r="G9" s="16">
        <f t="shared" si="1"/>
        <v>-64.84257466524349</v>
      </c>
      <c r="H9" s="16">
        <f t="shared" si="2"/>
        <v>-47.442574665243491</v>
      </c>
      <c r="I9" s="17">
        <f t="shared" si="3"/>
        <v>-28.319123874095414</v>
      </c>
      <c r="J9" s="17">
        <f t="shared" si="4"/>
        <v>30.842782348608552</v>
      </c>
    </row>
    <row r="10" spans="1:10" ht="15.75" thickBot="1">
      <c r="A10" s="7">
        <v>8</v>
      </c>
      <c r="B10" s="14" t="s">
        <v>38</v>
      </c>
      <c r="C10" s="13">
        <v>1.1000000000000001</v>
      </c>
      <c r="D10" s="14">
        <v>-35.56</v>
      </c>
      <c r="E10" s="14">
        <v>27.64</v>
      </c>
      <c r="F10" s="15">
        <f t="shared" si="0"/>
        <v>45.038685593609415</v>
      </c>
      <c r="G10" s="16">
        <f t="shared" si="1"/>
        <v>-37.857131718504654</v>
      </c>
      <c r="H10" s="16">
        <f t="shared" si="2"/>
        <v>-20.457131718504655</v>
      </c>
      <c r="I10" s="17">
        <f t="shared" si="3"/>
        <v>-42.198273579997043</v>
      </c>
      <c r="J10" s="17">
        <f t="shared" si="4"/>
        <v>15.741312107563452</v>
      </c>
    </row>
    <row r="11" spans="1:10">
      <c r="A11" s="18">
        <v>9</v>
      </c>
      <c r="B11" s="18"/>
      <c r="C11" s="19"/>
      <c r="D11" s="18"/>
      <c r="E11" s="18"/>
      <c r="F11" s="18"/>
      <c r="G11" s="19"/>
      <c r="H11" s="19"/>
      <c r="I11" s="18"/>
      <c r="J11" s="18"/>
    </row>
    <row r="12" spans="1:10">
      <c r="A12" s="20">
        <v>10</v>
      </c>
      <c r="B12" s="20"/>
      <c r="C12" s="21"/>
      <c r="D12" s="20"/>
      <c r="E12" s="20"/>
      <c r="F12" s="20"/>
      <c r="G12" s="21"/>
      <c r="H12" s="21"/>
      <c r="I12" s="20"/>
      <c r="J12" s="20"/>
    </row>
    <row r="13" spans="1:10" ht="15.75" thickBot="1"/>
    <row r="14" spans="1:10" ht="16.5" thickTop="1" thickBot="1">
      <c r="D14" s="1" t="s">
        <v>39</v>
      </c>
      <c r="E14" s="22">
        <v>17.399999999999999</v>
      </c>
      <c r="F14" s="55" t="s">
        <v>40</v>
      </c>
      <c r="G14" s="56"/>
      <c r="H14" s="56"/>
      <c r="I14" s="56"/>
      <c r="J14" s="57"/>
    </row>
    <row r="15" spans="1:10" ht="15.75" thickBot="1">
      <c r="D15" s="1" t="s">
        <v>41</v>
      </c>
      <c r="E15" s="22">
        <v>19.2</v>
      </c>
      <c r="F15" s="58"/>
      <c r="G15" s="59"/>
      <c r="H15" s="59"/>
      <c r="I15" s="59"/>
      <c r="J15" s="60"/>
    </row>
    <row r="16" spans="1:10" ht="15.75" thickBot="1">
      <c r="D16" s="1" t="s">
        <v>42</v>
      </c>
      <c r="E16" s="22">
        <v>45</v>
      </c>
      <c r="F16" s="61"/>
      <c r="G16" s="62"/>
      <c r="H16" s="62"/>
      <c r="I16" s="62"/>
      <c r="J16" s="63"/>
    </row>
    <row r="17" spans="1:16">
      <c r="D17" s="1" t="s">
        <v>43</v>
      </c>
      <c r="E17">
        <f>E16-E14</f>
        <v>27.6</v>
      </c>
    </row>
    <row r="18" spans="1:16" ht="15.75" thickBot="1">
      <c r="D18" s="23" t="s">
        <v>44</v>
      </c>
      <c r="E18">
        <f>E15+E16</f>
        <v>64.2</v>
      </c>
      <c r="F18" t="s">
        <v>45</v>
      </c>
    </row>
    <row r="19" spans="1:16">
      <c r="C19" s="18"/>
      <c r="D19" s="18"/>
      <c r="E19">
        <f>E16-E15</f>
        <v>25.8</v>
      </c>
      <c r="F19" t="s">
        <v>45</v>
      </c>
    </row>
    <row r="20" spans="1:16">
      <c r="C20" s="20"/>
      <c r="D20" s="20"/>
    </row>
    <row r="21" spans="1:16">
      <c r="B21" s="64" t="s">
        <v>46</v>
      </c>
      <c r="C21" s="65"/>
      <c r="D21" s="66"/>
      <c r="E21" s="32"/>
      <c r="F21" s="47" t="s">
        <v>72</v>
      </c>
      <c r="G21" s="48">
        <v>5</v>
      </c>
    </row>
    <row r="22" spans="1:16" ht="15.75" thickBot="1">
      <c r="B22" s="43"/>
      <c r="C22" s="45" t="s">
        <v>47</v>
      </c>
      <c r="D22" s="49">
        <f>E37+G22/2</f>
        <v>33.5</v>
      </c>
      <c r="E22" s="43"/>
      <c r="F22" s="45" t="s">
        <v>16</v>
      </c>
      <c r="G22" s="49">
        <v>67</v>
      </c>
      <c r="H22" s="1" t="s">
        <v>56</v>
      </c>
      <c r="I22">
        <f>(G22^2+G23^2)^0.5/2</f>
        <v>151.25640482306858</v>
      </c>
      <c r="J22" t="s">
        <v>58</v>
      </c>
      <c r="K22" s="28">
        <f>ATAN(G23/G22)</f>
        <v>1.3474662457997353</v>
      </c>
      <c r="L22" t="s">
        <v>68</v>
      </c>
      <c r="M22">
        <v>17.399999999999999</v>
      </c>
    </row>
    <row r="23" spans="1:16" ht="16.5" thickTop="1" thickBot="1">
      <c r="B23" s="43"/>
      <c r="C23" s="45" t="s">
        <v>48</v>
      </c>
      <c r="D23" s="49">
        <v>50</v>
      </c>
      <c r="E23" s="43"/>
      <c r="F23" s="45" t="s">
        <v>55</v>
      </c>
      <c r="G23" s="49">
        <v>295</v>
      </c>
      <c r="I23">
        <f>INT(I22)</f>
        <v>151</v>
      </c>
      <c r="J23" t="s">
        <v>59</v>
      </c>
      <c r="K23" s="28">
        <f>K22/PI()*180</f>
        <v>77.204128920662413</v>
      </c>
    </row>
    <row r="24" spans="1:16" ht="18" thickTop="1" thickBot="1">
      <c r="A24" s="51" t="s">
        <v>19</v>
      </c>
      <c r="B24" s="52"/>
      <c r="C24" s="44" t="s">
        <v>50</v>
      </c>
      <c r="D24" s="10" t="s">
        <v>51</v>
      </c>
      <c r="E24" s="27" t="s">
        <v>49</v>
      </c>
      <c r="F24" s="46" t="s">
        <v>53</v>
      </c>
      <c r="G24" s="46" t="s">
        <v>10</v>
      </c>
      <c r="H24" s="42" t="s">
        <v>54</v>
      </c>
      <c r="I24" s="42" t="s">
        <v>73</v>
      </c>
      <c r="J24" s="30" t="s">
        <v>60</v>
      </c>
      <c r="K24" s="30" t="s">
        <v>57</v>
      </c>
      <c r="L24" t="s">
        <v>61</v>
      </c>
      <c r="M24" t="s">
        <v>62</v>
      </c>
      <c r="N24" t="s">
        <v>66</v>
      </c>
      <c r="O24" t="s">
        <v>67</v>
      </c>
      <c r="P24" t="s">
        <v>57</v>
      </c>
    </row>
    <row r="25" spans="1:16" ht="15.75" thickBot="1">
      <c r="A25" s="7" t="s">
        <v>27</v>
      </c>
      <c r="B25" s="8"/>
      <c r="C25" s="10" t="s">
        <v>28</v>
      </c>
      <c r="D25" s="10" t="s">
        <v>28</v>
      </c>
      <c r="E25" s="10" t="s">
        <v>52</v>
      </c>
      <c r="F25" s="29" t="s">
        <v>28</v>
      </c>
      <c r="G25" s="29" t="s">
        <v>28</v>
      </c>
      <c r="H25" s="29" t="s">
        <v>28</v>
      </c>
      <c r="I25" s="29" t="s">
        <v>28</v>
      </c>
      <c r="J25" s="33" t="s">
        <v>65</v>
      </c>
      <c r="L25" s="31" t="s">
        <v>63</v>
      </c>
      <c r="M25" s="31" t="s">
        <v>64</v>
      </c>
      <c r="N25" s="31" t="s">
        <v>28</v>
      </c>
      <c r="O25" s="31" t="s">
        <v>28</v>
      </c>
    </row>
    <row r="26" spans="1:16" ht="15.75" thickBot="1">
      <c r="A26" s="7">
        <v>1</v>
      </c>
      <c r="B26" s="24" t="s">
        <v>31</v>
      </c>
      <c r="C26" s="26">
        <f t="shared" ref="C26:C33" si="5">I3</f>
        <v>-24.574885526788929</v>
      </c>
      <c r="D26" s="26">
        <v>0.05</v>
      </c>
      <c r="E26" s="26">
        <f>-C26*$D$23/1000+D26*$D$22/1000</f>
        <v>1.2304192763394466</v>
      </c>
      <c r="F26" s="17">
        <f>C26/$G$21</f>
        <v>-4.914977105357786</v>
      </c>
      <c r="G26" s="17">
        <f>D26/$G$21</f>
        <v>0.01</v>
      </c>
      <c r="H26" s="17">
        <f>E26/4/$I$23*1000</f>
        <v>2.0371180071845143</v>
      </c>
      <c r="I26" s="17">
        <f>((ABS(F26)+H26*SIN($K$22))^2+(ABS(G26)+H26*COS($K$22))^2)^0.5</f>
        <v>6.9168953311978578</v>
      </c>
      <c r="J26">
        <f>IF(L26=0,IF(M26=0,1,2),IF(M26=0,3,4))</f>
        <v>1</v>
      </c>
      <c r="K26" s="28">
        <f>IF(M26=0,P26+$M$22,P26-$M$22)</f>
        <v>21.222976497514733</v>
      </c>
      <c r="L26">
        <f>IF(C26*E26&gt;0,1,0)</f>
        <v>0</v>
      </c>
      <c r="M26">
        <f>IF(C26*D26&lt;0,0,1)</f>
        <v>0</v>
      </c>
      <c r="N26" s="28">
        <f>ABS(F26)+H26*SIN($K$22)</f>
        <v>6.9015039331717549</v>
      </c>
      <c r="O26" s="28">
        <f>ABS(G26)+H26*COS($K$22)</f>
        <v>0.46117727953740972</v>
      </c>
      <c r="P26" s="28">
        <f>ATAN(O26/N26)*180/PI()</f>
        <v>3.822976497514734</v>
      </c>
    </row>
    <row r="27" spans="1:16" ht="15.75" thickBot="1">
      <c r="A27" s="7">
        <v>2</v>
      </c>
      <c r="B27" s="25" t="s">
        <v>32</v>
      </c>
      <c r="C27" s="26">
        <f t="shared" si="5"/>
        <v>51.360585069636222</v>
      </c>
      <c r="D27" s="26">
        <f t="shared" ref="D27:D33" si="6">J4</f>
        <v>-1.1422175392059586E-3</v>
      </c>
      <c r="E27" s="26">
        <f t="shared" ref="E27:E33" si="7">-C27*$D$23/1000+D27*$D$22/1000</f>
        <v>-2.5680675177693746</v>
      </c>
      <c r="F27" s="17">
        <f t="shared" ref="F27:F33" si="8">C27/$G$21</f>
        <v>10.272117013927245</v>
      </c>
      <c r="G27" s="17">
        <f t="shared" ref="G27:G33" si="9">D27/$G$21</f>
        <v>-2.2844350784119173E-4</v>
      </c>
      <c r="H27" s="17">
        <f t="shared" ref="H27:H33" si="10">E27/4/$I$23*1000</f>
        <v>-4.251767413525454</v>
      </c>
      <c r="I27" s="17">
        <f t="shared" ref="I27:I33" si="11">((ABS(F27)+H27*SIN($K$22))^2+(ABS(G27)+H27*COS($K$22))^2)^0.5</f>
        <v>6.1978602270890617</v>
      </c>
      <c r="J27">
        <f t="shared" ref="J27:J33" si="12">IF(L27=0,IF(M27=0,1,2),IF(M27=0,3,4))</f>
        <v>1</v>
      </c>
      <c r="K27" s="28">
        <f t="shared" ref="K27:K33" si="13">IF(M27=0,P27+$M$22,P27-$M$22)</f>
        <v>8.6630385595427146</v>
      </c>
      <c r="L27">
        <f t="shared" ref="L27:L33" si="14">IF(C27*E27&gt;0,1,0)</f>
        <v>0</v>
      </c>
      <c r="M27">
        <f t="shared" ref="M27:M33" si="15">IF(C27*D27&lt;0,0,1)</f>
        <v>0</v>
      </c>
      <c r="N27" s="28">
        <f t="shared" ref="N27:N33" si="16">ABS(F27)+H27*SIN($K$22)</f>
        <v>6.1259408951136756</v>
      </c>
      <c r="O27" s="28">
        <f t="shared" ref="O27:O33" si="17">ABS(G27)+H27*COS($K$22)</f>
        <v>-0.94144545466337592</v>
      </c>
      <c r="P27" s="28">
        <f t="shared" ref="P27:P33" si="18">ATAN(O27/N27)*180/PI()</f>
        <v>-8.736961440457284</v>
      </c>
    </row>
    <row r="28" spans="1:16" ht="15.75" thickBot="1">
      <c r="A28" s="7">
        <v>3</v>
      </c>
      <c r="B28" s="25" t="s">
        <v>33</v>
      </c>
      <c r="C28" s="26">
        <f t="shared" si="5"/>
        <v>-19.308237317686558</v>
      </c>
      <c r="D28" s="26">
        <f t="shared" si="6"/>
        <v>30.84762667830212</v>
      </c>
      <c r="E28" s="26">
        <f t="shared" si="7"/>
        <v>1.9988073596074489</v>
      </c>
      <c r="F28" s="17">
        <f t="shared" si="8"/>
        <v>-3.8616474635373117</v>
      </c>
      <c r="G28" s="17">
        <f t="shared" si="9"/>
        <v>6.169525335660424</v>
      </c>
      <c r="H28" s="17">
        <f t="shared" si="10"/>
        <v>3.3092837079593527</v>
      </c>
      <c r="I28" s="17">
        <f t="shared" si="11"/>
        <v>9.8941533685172374</v>
      </c>
      <c r="J28">
        <f t="shared" si="12"/>
        <v>1</v>
      </c>
      <c r="K28" s="28">
        <f t="shared" si="13"/>
        <v>61.63717781703393</v>
      </c>
      <c r="L28">
        <f t="shared" si="14"/>
        <v>0</v>
      </c>
      <c r="M28">
        <f t="shared" si="15"/>
        <v>0</v>
      </c>
      <c r="N28" s="28">
        <f t="shared" si="16"/>
        <v>7.0887461605807838</v>
      </c>
      <c r="O28" s="28">
        <f t="shared" si="17"/>
        <v>6.9024596160058902</v>
      </c>
      <c r="P28" s="28">
        <f t="shared" si="18"/>
        <v>44.237177817033931</v>
      </c>
    </row>
    <row r="29" spans="1:16" ht="15.75" thickBot="1">
      <c r="A29" s="7">
        <v>4</v>
      </c>
      <c r="B29" s="25" t="s">
        <v>34</v>
      </c>
      <c r="C29" s="26">
        <f t="shared" si="5"/>
        <v>-33.184396615665626</v>
      </c>
      <c r="D29" s="26">
        <f t="shared" si="6"/>
        <v>15.736614033971852</v>
      </c>
      <c r="E29" s="26">
        <f t="shared" si="7"/>
        <v>2.1863964009213386</v>
      </c>
      <c r="F29" s="17">
        <f t="shared" si="8"/>
        <v>-6.6368793231331251</v>
      </c>
      <c r="G29" s="17">
        <f t="shared" si="9"/>
        <v>3.1473228067943704</v>
      </c>
      <c r="H29" s="17">
        <f t="shared" si="10"/>
        <v>3.6198615909293688</v>
      </c>
      <c r="I29" s="17">
        <f t="shared" si="11"/>
        <v>10.906861863247132</v>
      </c>
      <c r="J29">
        <f t="shared" si="12"/>
        <v>1</v>
      </c>
      <c r="K29" s="28">
        <f t="shared" si="13"/>
        <v>38.627352962521968</v>
      </c>
      <c r="L29">
        <f t="shared" si="14"/>
        <v>0</v>
      </c>
      <c r="M29">
        <f t="shared" si="15"/>
        <v>0</v>
      </c>
      <c r="N29" s="28">
        <f t="shared" si="16"/>
        <v>10.166842799963369</v>
      </c>
      <c r="O29" s="28">
        <f t="shared" si="17"/>
        <v>3.9490433252609001</v>
      </c>
      <c r="P29" s="28">
        <f t="shared" si="18"/>
        <v>21.227352962521973</v>
      </c>
    </row>
    <row r="30" spans="1:16" ht="15.75" thickBot="1">
      <c r="A30" s="7">
        <v>5</v>
      </c>
      <c r="B30" s="25" t="s">
        <v>35</v>
      </c>
      <c r="C30" s="26">
        <f t="shared" si="5"/>
        <v>-32.229754713771669</v>
      </c>
      <c r="D30" s="26">
        <f t="shared" si="6"/>
        <v>18.508952187795856</v>
      </c>
      <c r="E30" s="26">
        <f t="shared" si="7"/>
        <v>2.2315376339797446</v>
      </c>
      <c r="F30" s="17">
        <f t="shared" si="8"/>
        <v>-6.445950942754334</v>
      </c>
      <c r="G30" s="17">
        <f t="shared" si="9"/>
        <v>3.701790437559171</v>
      </c>
      <c r="H30" s="17">
        <f t="shared" si="10"/>
        <v>3.6945987317545441</v>
      </c>
      <c r="I30" s="17">
        <f t="shared" si="11"/>
        <v>11.018587284222011</v>
      </c>
      <c r="J30">
        <f t="shared" si="12"/>
        <v>1</v>
      </c>
      <c r="K30" s="28">
        <f t="shared" si="13"/>
        <v>41.618762396557891</v>
      </c>
      <c r="L30">
        <f t="shared" si="14"/>
        <v>0</v>
      </c>
      <c r="M30">
        <f t="shared" si="15"/>
        <v>0</v>
      </c>
      <c r="N30" s="28">
        <f t="shared" si="16"/>
        <v>10.048795487229999</v>
      </c>
      <c r="O30" s="28">
        <f t="shared" si="17"/>
        <v>4.5200636052875423</v>
      </c>
      <c r="P30" s="28">
        <f t="shared" si="18"/>
        <v>24.218762396557892</v>
      </c>
    </row>
    <row r="31" spans="1:16" ht="15.75" thickBot="1">
      <c r="A31" s="7">
        <v>6</v>
      </c>
      <c r="B31" s="25" t="s">
        <v>36</v>
      </c>
      <c r="C31" s="26">
        <f t="shared" si="5"/>
        <v>-40.559865335457687</v>
      </c>
      <c r="D31" s="26">
        <f t="shared" si="6"/>
        <v>9.4430569186857056</v>
      </c>
      <c r="E31" s="26">
        <f t="shared" si="7"/>
        <v>2.3443356735488559</v>
      </c>
      <c r="F31" s="17">
        <f t="shared" si="8"/>
        <v>-8.1119730670915366</v>
      </c>
      <c r="G31" s="17">
        <f t="shared" si="9"/>
        <v>1.8886113837371412</v>
      </c>
      <c r="H31" s="17">
        <f t="shared" si="10"/>
        <v>3.881350452895457</v>
      </c>
      <c r="I31" s="17">
        <f t="shared" si="11"/>
        <v>12.210234767294599</v>
      </c>
      <c r="J31">
        <f t="shared" si="12"/>
        <v>1</v>
      </c>
      <c r="K31" s="28">
        <f t="shared" si="13"/>
        <v>30.407420433161352</v>
      </c>
      <c r="L31">
        <f t="shared" si="14"/>
        <v>0</v>
      </c>
      <c r="M31">
        <f t="shared" si="15"/>
        <v>0</v>
      </c>
      <c r="N31" s="28">
        <f t="shared" si="16"/>
        <v>11.896931412966264</v>
      </c>
      <c r="O31" s="28">
        <f t="shared" si="17"/>
        <v>2.7482459911052999</v>
      </c>
      <c r="P31" s="28">
        <f t="shared" si="18"/>
        <v>13.007420433161354</v>
      </c>
    </row>
    <row r="32" spans="1:16" ht="15.75" thickBot="1">
      <c r="A32" s="7">
        <v>7</v>
      </c>
      <c r="B32" s="25" t="s">
        <v>37</v>
      </c>
      <c r="C32" s="26">
        <f t="shared" si="5"/>
        <v>-28.319123874095414</v>
      </c>
      <c r="D32" s="26">
        <f t="shared" si="6"/>
        <v>30.842782348608552</v>
      </c>
      <c r="E32" s="26">
        <f t="shared" si="7"/>
        <v>2.4491894023831571</v>
      </c>
      <c r="F32" s="17">
        <f t="shared" si="8"/>
        <v>-5.6638247748190826</v>
      </c>
      <c r="G32" s="17">
        <f t="shared" si="9"/>
        <v>6.1685564697217101</v>
      </c>
      <c r="H32" s="17">
        <f t="shared" si="10"/>
        <v>4.0549493416939688</v>
      </c>
      <c r="I32" s="41">
        <f t="shared" si="11"/>
        <v>11.935018969954633</v>
      </c>
      <c r="J32">
        <f t="shared" si="12"/>
        <v>1</v>
      </c>
      <c r="K32" s="28">
        <f t="shared" si="13"/>
        <v>53.705664584438949</v>
      </c>
      <c r="L32">
        <f t="shared" si="14"/>
        <v>0</v>
      </c>
      <c r="M32">
        <f t="shared" si="15"/>
        <v>0</v>
      </c>
      <c r="N32" s="28">
        <f t="shared" si="16"/>
        <v>9.6180707361685585</v>
      </c>
      <c r="O32" s="28">
        <f t="shared" si="17"/>
        <v>7.0666394507739643</v>
      </c>
      <c r="P32" s="28">
        <f t="shared" si="18"/>
        <v>36.305664584438951</v>
      </c>
    </row>
    <row r="33" spans="1:16" ht="15.75" thickBot="1">
      <c r="A33" s="7">
        <v>8</v>
      </c>
      <c r="B33" s="25" t="s">
        <v>38</v>
      </c>
      <c r="C33" s="26">
        <f t="shared" si="5"/>
        <v>-42.198273579997043</v>
      </c>
      <c r="D33" s="26">
        <f t="shared" si="6"/>
        <v>15.741312107563452</v>
      </c>
      <c r="E33" s="26">
        <f t="shared" si="7"/>
        <v>2.6372476346032276</v>
      </c>
      <c r="F33" s="17">
        <f t="shared" si="8"/>
        <v>-8.4396547159994082</v>
      </c>
      <c r="G33" s="17">
        <f t="shared" si="9"/>
        <v>3.1482624215126904</v>
      </c>
      <c r="H33" s="17">
        <f t="shared" si="10"/>
        <v>4.3663040308000456</v>
      </c>
      <c r="I33" s="17">
        <f t="shared" si="11"/>
        <v>13.347764383725474</v>
      </c>
      <c r="J33">
        <f t="shared" si="12"/>
        <v>1</v>
      </c>
      <c r="K33" s="28">
        <f t="shared" si="13"/>
        <v>35.357658417771368</v>
      </c>
      <c r="L33">
        <f t="shared" si="14"/>
        <v>0</v>
      </c>
      <c r="M33">
        <f t="shared" si="15"/>
        <v>0</v>
      </c>
      <c r="N33" s="28">
        <f t="shared" si="16"/>
        <v>12.697522971537794</v>
      </c>
      <c r="O33" s="28">
        <f t="shared" si="17"/>
        <v>4.1153036863298826</v>
      </c>
      <c r="P33" s="28">
        <f t="shared" si="18"/>
        <v>17.95765841777137</v>
      </c>
    </row>
    <row r="35" spans="1:16">
      <c r="B35" s="31"/>
      <c r="C35" s="40"/>
    </row>
    <row r="36" spans="1:16">
      <c r="B36" s="31"/>
    </row>
    <row r="37" spans="1:16">
      <c r="B37" s="31"/>
    </row>
    <row r="38" spans="1:16">
      <c r="B38" s="31"/>
    </row>
  </sheetData>
  <mergeCells count="5">
    <mergeCell ref="A1:B1"/>
    <mergeCell ref="G1:H1"/>
    <mergeCell ref="F14:J16"/>
    <mergeCell ref="A24:B24"/>
    <mergeCell ref="B21:D2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personnel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</dc:creator>
  <cp:lastModifiedBy>Bernard</cp:lastModifiedBy>
  <dcterms:created xsi:type="dcterms:W3CDTF">2013-07-11T08:57:58Z</dcterms:created>
  <dcterms:modified xsi:type="dcterms:W3CDTF">2013-07-12T15:27:27Z</dcterms:modified>
</cp:coreProperties>
</file>