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D:\Documents professionnels\BTS FED\Projet FED1\Projet Etude énergétique, règlementaire et économique d’une maison individuelle\Eduscol 2021\Dossier enseignant\"/>
    </mc:Choice>
  </mc:AlternateContent>
  <xr:revisionPtr revIDLastSave="0" documentId="13_ncr:1_{7D2049D3-E86B-425B-A3F3-D743A255AF0F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Partie 1" sheetId="2" r:id="rId1"/>
    <sheet name="Partie 3" sheetId="5" r:id="rId2"/>
  </sheets>
  <externalReferences>
    <externalReference r:id="rId3"/>
  </externalReferences>
  <definedNames>
    <definedName name="_xlnm.Print_Area" localSheetId="0">'Partie 1'!$A$2:$K$36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8" i="5" l="1"/>
  <c r="E38" i="5"/>
  <c r="F37" i="5"/>
  <c r="F39" i="5" s="1"/>
  <c r="F42" i="5" s="1"/>
  <c r="E33" i="5"/>
  <c r="E34" i="5" s="1"/>
  <c r="F31" i="5"/>
  <c r="K20" i="5"/>
  <c r="J19" i="5"/>
  <c r="I19" i="5"/>
  <c r="L19" i="5" s="1"/>
  <c r="I18" i="5"/>
  <c r="L18" i="5" s="1"/>
  <c r="L17" i="5"/>
  <c r="I17" i="5"/>
  <c r="J16" i="5"/>
  <c r="J20" i="5" s="1"/>
  <c r="I16" i="5"/>
  <c r="L16" i="5" s="1"/>
  <c r="L15" i="5"/>
  <c r="I15" i="5"/>
  <c r="I14" i="5"/>
  <c r="L14" i="5" s="1"/>
  <c r="L13" i="5"/>
  <c r="I13" i="5"/>
  <c r="I20" i="5" s="1"/>
  <c r="E10" i="5"/>
  <c r="E7" i="5"/>
  <c r="E39" i="5" s="1"/>
  <c r="E42" i="5" s="1"/>
  <c r="E40" i="5" l="1"/>
  <c r="E41" i="5"/>
  <c r="L20" i="5"/>
  <c r="F32" i="5" s="1"/>
  <c r="F33" i="5"/>
  <c r="F34" i="5" l="1"/>
  <c r="E26" i="5"/>
  <c r="F36" i="5" s="1"/>
  <c r="E43" i="5"/>
  <c r="E44" i="5" l="1"/>
  <c r="F41" i="5"/>
  <c r="F40" i="5"/>
  <c r="F43" i="5" s="1"/>
  <c r="F14" i="2" l="1"/>
  <c r="G14" i="2"/>
  <c r="H14" i="2"/>
  <c r="I14" i="2"/>
  <c r="J14" i="2"/>
  <c r="K14" i="2"/>
  <c r="E14" i="2"/>
  <c r="E35" i="2" l="1"/>
  <c r="F35" i="2"/>
  <c r="G35" i="2"/>
  <c r="H35" i="2"/>
  <c r="I35" i="2"/>
  <c r="K35" i="2"/>
  <c r="J35" i="2"/>
  <c r="F26" i="2" l="1"/>
  <c r="F27" i="2" s="1"/>
  <c r="G26" i="2"/>
  <c r="G27" i="2" s="1"/>
  <c r="H26" i="2"/>
  <c r="H27" i="2" s="1"/>
  <c r="I26" i="2"/>
  <c r="I27" i="2" s="1"/>
  <c r="J26" i="2"/>
  <c r="J27" i="2" s="1"/>
  <c r="K26" i="2"/>
  <c r="K27" i="2" s="1"/>
  <c r="E26" i="2"/>
  <c r="E27" i="2" s="1"/>
</calcChain>
</file>

<file path=xl/sharedStrings.xml><?xml version="1.0" encoding="utf-8"?>
<sst xmlns="http://schemas.openxmlformats.org/spreadsheetml/2006/main" count="200" uniqueCount="147">
  <si>
    <t>Murs extérieurs</t>
  </si>
  <si>
    <t>Non isolé</t>
  </si>
  <si>
    <t>Perméabilité de l'enveloppe</t>
  </si>
  <si>
    <t>Ventilation</t>
  </si>
  <si>
    <t>Non</t>
  </si>
  <si>
    <t>Unité</t>
  </si>
  <si>
    <t xml:space="preserve"> (W/m².K)</t>
  </si>
  <si>
    <t>(W)</t>
  </si>
  <si>
    <t>(kW.h/an)</t>
  </si>
  <si>
    <t>(m²)</t>
  </si>
  <si>
    <t>Besoin de chauffage</t>
  </si>
  <si>
    <t>Besoin de refroidissement</t>
  </si>
  <si>
    <t>Besoins électricité Eclairage</t>
  </si>
  <si>
    <t>Besoins ECS</t>
  </si>
  <si>
    <t>Surface habitable (SHAB)</t>
  </si>
  <si>
    <t>Besoins totaux</t>
  </si>
  <si>
    <t>Déperditions Renouvellement d’air</t>
  </si>
  <si>
    <t>Ubat</t>
  </si>
  <si>
    <t>Déperdtions thermiques</t>
  </si>
  <si>
    <t>Bilan énergétique</t>
  </si>
  <si>
    <t>Données</t>
  </si>
  <si>
    <t>Grandeurs</t>
  </si>
  <si>
    <t>TOTAL</t>
  </si>
  <si>
    <t>Besoins électrcité ventilation</t>
  </si>
  <si>
    <t>Plancher bas</t>
  </si>
  <si>
    <t>Fenêtres</t>
  </si>
  <si>
    <t>Simple vitrage</t>
  </si>
  <si>
    <t>Naturelle</t>
  </si>
  <si>
    <t>Simple flux auto-réglable</t>
  </si>
  <si>
    <t>Programmation chauffage (occupation / non occupation)</t>
  </si>
  <si>
    <t>m³/(h.m²)</t>
  </si>
  <si>
    <t>Toiture inclinée</t>
  </si>
  <si>
    <t>Toiture terrasse</t>
  </si>
  <si>
    <t>Plancher haut (sous combles)</t>
  </si>
  <si>
    <t>Double vitrage performant au sud et
Triple vitrage 4-18-4-18-4 Argon ailleurs</t>
  </si>
  <si>
    <t>Solaire thermique</t>
  </si>
  <si>
    <t>Solaire photovoltaïque</t>
  </si>
  <si>
    <t>Production solaire thermique</t>
  </si>
  <si>
    <t>Production solaire photovoltaïque</t>
  </si>
  <si>
    <t>Evolution des caractéristiques thermiques moyennes des maisons suivant la règlementation</t>
  </si>
  <si>
    <t>Caractéristiques des matériaux et des systèmes</t>
  </si>
  <si>
    <t>Déperditions par transmission</t>
  </si>
  <si>
    <t>U (W/m².K)</t>
  </si>
  <si>
    <t xml:space="preserve">Double vitrage
4-6-4 Air
(non configurable sur Archiwizard,
prendre 4-16-4)
Cadre bois classique
</t>
  </si>
  <si>
    <t>Double vitrage
4-10-4 Air
(non configurable sur Archiwizard,
prendre 4-16-4)
Cadre PVC Classique</t>
  </si>
  <si>
    <t>Simple flux hygro-réglable A (réduction de 10% par rapport au débit réglementaire)(modulation)</t>
  </si>
  <si>
    <t>Double flux avec échangeur e=70%</t>
  </si>
  <si>
    <t>Oui
(19°C/16°C)</t>
  </si>
  <si>
    <t>(kWc)</t>
  </si>
  <si>
    <t xml:space="preserve">Double vitrage
4-6-4 Air
(non configurable sur Archiwizard,
prendre 4-16-4)
Persiennes ajourées
Cadre bois classique
</t>
  </si>
  <si>
    <t>Double vitrage
4-16-4 Air standard
Cadre PVC performant
Volets roulants 2cm d’isolant</t>
  </si>
  <si>
    <t>Double vitrage
4-16-4 Argon
Cadre PVC très performant
Volet roulant 20 mm avec coffre</t>
  </si>
  <si>
    <t>(%) de couverture annuelle</t>
  </si>
  <si>
    <t>Double flux échangeur e=90%
ventilateurs basses consommations</t>
  </si>
  <si>
    <t>Taux d'incorfort</t>
  </si>
  <si>
    <t>nbre heures &gt; 27°C</t>
  </si>
  <si>
    <t>(%)</t>
  </si>
  <si>
    <t>Ponts thermiques</t>
  </si>
  <si>
    <t>Traitement</t>
  </si>
  <si>
    <t>Oui</t>
  </si>
  <si>
    <t>Epaisseur moyenne des isolants</t>
  </si>
  <si>
    <t>(cm)</t>
  </si>
  <si>
    <t>Non rénovée</t>
  </si>
  <si>
    <t>Chauffage</t>
  </si>
  <si>
    <t>Convecteurs électrique</t>
  </si>
  <si>
    <t>ECS</t>
  </si>
  <si>
    <t>Cumulus électrique</t>
  </si>
  <si>
    <t>Ouverture des ouvrants</t>
  </si>
  <si>
    <t>Parois opaques</t>
  </si>
  <si>
    <t>Parpaing sans isolation</t>
  </si>
  <si>
    <t>Baies</t>
  </si>
  <si>
    <t>Dalle béton</t>
  </si>
  <si>
    <t>Poele à granulés</t>
  </si>
  <si>
    <t>VMC double flux avec échangeur</t>
  </si>
  <si>
    <t>Isolation des sous-bassement en périphérie</t>
  </si>
  <si>
    <t xml:space="preserve">Double vitrage 4-20-4 Argon faible émissivité </t>
  </si>
  <si>
    <t>Plancher haut</t>
  </si>
  <si>
    <t>Plancher bois non isolé</t>
  </si>
  <si>
    <t>Isolation ouate de cellulose insufflée (40 cm)</t>
  </si>
  <si>
    <t>Isolation par l'extérieur (15 cm)</t>
  </si>
  <si>
    <t>Investissement</t>
  </si>
  <si>
    <t>Solaire thermique + résistance électrique</t>
  </si>
  <si>
    <t>€/m² de capteurs</t>
  </si>
  <si>
    <t xml:space="preserve"> €/m²</t>
  </si>
  <si>
    <t>ml</t>
  </si>
  <si>
    <t>m²</t>
  </si>
  <si>
    <t>€/ml</t>
  </si>
  <si>
    <t>Quantité</t>
  </si>
  <si>
    <t>U</t>
  </si>
  <si>
    <t>%</t>
  </si>
  <si>
    <t>Coût total</t>
  </si>
  <si>
    <t>ans</t>
  </si>
  <si>
    <t>Taux d'emprunt annuel</t>
  </si>
  <si>
    <t>€</t>
  </si>
  <si>
    <t>€/U</t>
  </si>
  <si>
    <t>m² de capteurs</t>
  </si>
  <si>
    <t>Prix unitaire</t>
  </si>
  <si>
    <t>Familles</t>
  </si>
  <si>
    <t>Maison non rénovée</t>
  </si>
  <si>
    <t>Durée maximale du prêt à taux zéro</t>
  </si>
  <si>
    <t>Rénovée type RT2012</t>
  </si>
  <si>
    <t>ETUDE COMPARATIVE</t>
  </si>
  <si>
    <t>Charges énergétiques mensuelles</t>
  </si>
  <si>
    <t>Charges totales</t>
  </si>
  <si>
    <t>Coût d'investissement initial (€)</t>
  </si>
  <si>
    <t>Prêt principal (€)</t>
  </si>
  <si>
    <t>Cumul des coûts sur 30 ans (€)</t>
  </si>
  <si>
    <t>Economie réalisée sur 30 ans (€)</t>
  </si>
  <si>
    <t>Etude technico-économique comparative sur 30 ans entre la maison REMSES  non rénovée et rénovée (type RT2012)</t>
  </si>
  <si>
    <t>Durée de l'étude</t>
  </si>
  <si>
    <t>€/kW.h</t>
  </si>
  <si>
    <t>Coût actuel granulés de bois</t>
  </si>
  <si>
    <t>Augmentation annuelle granulés de bois</t>
  </si>
  <si>
    <t>Coût moyen granulés de bois sur la durée de l'étude</t>
  </si>
  <si>
    <t>Coût actuel électricité</t>
  </si>
  <si>
    <t>Coût moyen électricité sur la durée de l'étude</t>
  </si>
  <si>
    <t>Augmentation annuelle électricité</t>
  </si>
  <si>
    <t>Données générales à l'étude</t>
  </si>
  <si>
    <t>Consommation énergétique mensuelle bois (kW.h/mois)</t>
  </si>
  <si>
    <t>Consommation énergétique mensuelle électricité (kW.h/mois)</t>
  </si>
  <si>
    <r>
      <t>e</t>
    </r>
    <r>
      <rPr>
        <vertAlign val="subscript"/>
        <sz val="10"/>
        <color theme="1"/>
        <rFont val="Calibri"/>
        <family val="2"/>
        <scheme val="minor"/>
      </rPr>
      <t>isolant</t>
    </r>
    <r>
      <rPr>
        <sz val="10"/>
        <color theme="1"/>
        <rFont val="Calibri"/>
        <family val="2"/>
        <scheme val="minor"/>
      </rPr>
      <t xml:space="preserve"> (cm)</t>
    </r>
  </si>
  <si>
    <r>
      <rPr>
        <sz val="10"/>
        <color theme="1"/>
        <rFont val="Symbol"/>
        <family val="1"/>
        <charset val="2"/>
      </rPr>
      <t>»</t>
    </r>
    <r>
      <rPr>
        <sz val="10"/>
        <color theme="1"/>
        <rFont val="Calibri"/>
        <family val="2"/>
      </rPr>
      <t xml:space="preserve"> </t>
    </r>
    <r>
      <rPr>
        <sz val="10"/>
        <color theme="1"/>
        <rFont val="Calibri"/>
        <family val="2"/>
        <scheme val="minor"/>
      </rPr>
      <t>60</t>
    </r>
  </si>
  <si>
    <r>
      <t>(W/m²</t>
    </r>
    <r>
      <rPr>
        <b/>
        <vertAlign val="subscript"/>
        <sz val="10"/>
        <color theme="1"/>
        <rFont val="Calibri"/>
        <family val="2"/>
        <scheme val="minor"/>
      </rPr>
      <t>SHAB</t>
    </r>
    <r>
      <rPr>
        <b/>
        <sz val="10"/>
        <color theme="1"/>
        <rFont val="Calibri"/>
        <family val="2"/>
        <scheme val="minor"/>
      </rPr>
      <t>)</t>
    </r>
  </si>
  <si>
    <r>
      <t>(kW.h/an.m²</t>
    </r>
    <r>
      <rPr>
        <b/>
        <vertAlign val="subscript"/>
        <sz val="10"/>
        <color theme="1"/>
        <rFont val="Calibri"/>
        <family val="2"/>
        <scheme val="minor"/>
      </rPr>
      <t>SHAB</t>
    </r>
    <r>
      <rPr>
        <b/>
        <sz val="10"/>
        <color theme="1"/>
        <rFont val="Calibri"/>
        <family val="2"/>
        <scheme val="minor"/>
      </rPr>
      <t>)</t>
    </r>
  </si>
  <si>
    <t>1970</t>
  </si>
  <si>
    <t>1982</t>
  </si>
  <si>
    <t>1989</t>
  </si>
  <si>
    <t>2000</t>
  </si>
  <si>
    <t>2005</t>
  </si>
  <si>
    <t>2012</t>
  </si>
  <si>
    <t xml:space="preserve"> Coût travaux (€)</t>
  </si>
  <si>
    <t xml:space="preserve">Maison rénovée (type RT2012)
</t>
  </si>
  <si>
    <t>Coût travaux après aides (€)</t>
  </si>
  <si>
    <t>Aides Ma prime Renov (€)</t>
  </si>
  <si>
    <t>Aides CEE (€)</t>
  </si>
  <si>
    <t>Durée du prêt principal</t>
  </si>
  <si>
    <t>Prise en charge Prêt à taux zéro PTZ</t>
  </si>
  <si>
    <t>Montant financé par PTZ</t>
  </si>
  <si>
    <t>Durée du différé du prêt à taux zéro</t>
  </si>
  <si>
    <t xml:space="preserve">               Mensualité  de remboursement d'emprunt</t>
  </si>
  <si>
    <t>Mensualité de remboursement de prêt</t>
  </si>
  <si>
    <t>Prêt taux zéro (€) années 1 à 5</t>
  </si>
  <si>
    <t>Prêt taux zéro (€) années 6 à 20</t>
  </si>
  <si>
    <t>Charges mensuelles (emprunt + coûts énergies)</t>
  </si>
  <si>
    <t>Charge mensuelle sur les 5 premières années (€)</t>
  </si>
  <si>
    <t>Charge mensuelle de 5ème année à la fin du prêt principal (€)</t>
  </si>
  <si>
    <t>Charge mensuelle après la fin du prêt principal (€)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</si>
</sst>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3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vertAlign val="subscript"/>
      <sz val="10"/>
      <color theme="1"/>
      <name val="Calibri"/>
      <family val="2"/>
      <scheme val="minor"/>
    </font>
    <font>
      <sz val="10"/>
      <color theme="1"/>
      <name val="Symbol"/>
      <family val="1"/>
      <charset val="2"/>
    </font>
    <font>
      <sz val="10"/>
      <color theme="1"/>
      <name val="Calibri"/>
      <family val="2"/>
    </font>
    <font>
      <b/>
      <vertAlign val="subscript"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2" fillId="0" borderId="0" applyFont="0" applyFill="0" applyBorder="0" applyAlignment="0" applyProtection="0"/>
  </cellStyleXfs>
  <cellXfs count="216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5" borderId="13" xfId="0" applyFont="1" applyFill="1" applyBorder="1" applyAlignment="1">
      <alignment horizontal="center" vertical="center" wrapText="1"/>
    </xf>
    <xf numFmtId="0" fontId="5" fillId="5" borderId="33" xfId="0" applyFont="1" applyFill="1" applyBorder="1" applyAlignment="1">
      <alignment horizontal="center" vertical="center" wrapText="1"/>
    </xf>
    <xf numFmtId="0" fontId="5" fillId="5" borderId="17" xfId="0" applyFont="1" applyFill="1" applyBorder="1" applyAlignment="1">
      <alignment horizontal="center" vertical="center" wrapText="1"/>
    </xf>
    <xf numFmtId="0" fontId="5" fillId="5" borderId="50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5" fillId="5" borderId="31" xfId="0" applyFont="1" applyFill="1" applyBorder="1" applyAlignment="1">
      <alignment horizontal="center" vertical="center" wrapText="1"/>
    </xf>
    <xf numFmtId="0" fontId="5" fillId="5" borderId="32" xfId="0" applyFont="1" applyFill="1" applyBorder="1" applyAlignment="1">
      <alignment horizontal="center" vertical="center" wrapText="1"/>
    </xf>
    <xf numFmtId="0" fontId="5" fillId="5" borderId="15" xfId="0" applyFont="1" applyFill="1" applyBorder="1" applyAlignment="1">
      <alignment horizontal="center" vertical="center" wrapText="1"/>
    </xf>
    <xf numFmtId="0" fontId="5" fillId="5" borderId="16" xfId="0" applyFont="1" applyFill="1" applyBorder="1" applyAlignment="1">
      <alignment horizontal="center" vertical="center" wrapText="1"/>
    </xf>
    <xf numFmtId="0" fontId="5" fillId="5" borderId="45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5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5" xfId="0" applyFill="1" applyBorder="1" applyAlignment="1">
      <alignment horizontal="center" vertical="center" wrapText="1"/>
    </xf>
    <xf numFmtId="0" fontId="0" fillId="11" borderId="41" xfId="0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11" borderId="43" xfId="0" applyFill="1" applyBorder="1" applyAlignment="1">
      <alignment horizontal="center" vertical="center" wrapText="1"/>
    </xf>
    <xf numFmtId="0" fontId="0" fillId="0" borderId="53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3" borderId="46" xfId="0" applyFill="1" applyBorder="1" applyAlignment="1">
      <alignment horizontal="center" vertical="center" wrapText="1"/>
    </xf>
    <xf numFmtId="0" fontId="0" fillId="11" borderId="54" xfId="0" applyFill="1" applyBorder="1" applyAlignment="1">
      <alignment horizontal="center" vertical="center" wrapText="1"/>
    </xf>
    <xf numFmtId="0" fontId="0" fillId="0" borderId="55" xfId="0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0" fillId="0" borderId="49" xfId="0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11" borderId="44" xfId="0" applyFont="1" applyFill="1" applyBorder="1" applyAlignment="1">
      <alignment horizontal="center" vertical="center" wrapText="1"/>
    </xf>
    <xf numFmtId="0" fontId="6" fillId="11" borderId="10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6" fillId="11" borderId="4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6" fillId="0" borderId="59" xfId="0" applyFont="1" applyBorder="1" applyAlignment="1">
      <alignment horizontal="right" vertical="center" wrapText="1"/>
    </xf>
    <xf numFmtId="0" fontId="0" fillId="0" borderId="57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60" xfId="0" applyBorder="1" applyAlignment="1">
      <alignment horizontal="center" vertical="center" wrapText="1"/>
    </xf>
    <xf numFmtId="0" fontId="0" fillId="0" borderId="27" xfId="0" applyBorder="1"/>
    <xf numFmtId="0" fontId="0" fillId="0" borderId="6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vertical="center"/>
    </xf>
    <xf numFmtId="0" fontId="4" fillId="2" borderId="6" xfId="0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1" fontId="6" fillId="3" borderId="4" xfId="0" applyNumberFormat="1" applyFont="1" applyFill="1" applyBorder="1" applyAlignment="1">
      <alignment horizontal="center" vertical="center" wrapText="1"/>
    </xf>
    <xf numFmtId="1" fontId="6" fillId="11" borderId="7" xfId="0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165" fontId="0" fillId="0" borderId="62" xfId="0" applyNumberFormat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6" fillId="0" borderId="25" xfId="0" applyFont="1" applyBorder="1" applyAlignment="1">
      <alignment horizontal="right" vertical="center" wrapText="1"/>
    </xf>
    <xf numFmtId="0" fontId="0" fillId="11" borderId="4" xfId="0" applyFill="1" applyBorder="1" applyAlignment="1">
      <alignment horizontal="center" vertical="center" wrapText="1"/>
    </xf>
    <xf numFmtId="0" fontId="0" fillId="11" borderId="18" xfId="0" applyFill="1" applyBorder="1" applyAlignment="1">
      <alignment horizontal="center" vertical="center" wrapText="1"/>
    </xf>
    <xf numFmtId="0" fontId="0" fillId="11" borderId="19" xfId="0" applyFill="1" applyBorder="1" applyAlignment="1">
      <alignment horizontal="center" vertical="center" wrapText="1"/>
    </xf>
    <xf numFmtId="0" fontId="0" fillId="11" borderId="20" xfId="0" applyFill="1" applyBorder="1" applyAlignment="1">
      <alignment horizontal="center" vertical="center" wrapText="1"/>
    </xf>
    <xf numFmtId="0" fontId="7" fillId="10" borderId="5" xfId="0" applyFont="1" applyFill="1" applyBorder="1" applyAlignment="1">
      <alignment horizontal="left" vertical="center"/>
    </xf>
    <xf numFmtId="0" fontId="7" fillId="10" borderId="6" xfId="0" applyFont="1" applyFill="1" applyBorder="1" applyAlignment="1">
      <alignment horizontal="left" vertical="center"/>
    </xf>
    <xf numFmtId="0" fontId="7" fillId="10" borderId="7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46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48" xfId="0" applyFont="1" applyBorder="1" applyAlignment="1">
      <alignment horizontal="center" vertical="center" wrapText="1"/>
    </xf>
    <xf numFmtId="0" fontId="5" fillId="5" borderId="49" xfId="0" applyFont="1" applyFill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5" borderId="14" xfId="0" applyFont="1" applyFill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5" fillId="7" borderId="37" xfId="0" applyFont="1" applyFill="1" applyBorder="1" applyAlignment="1">
      <alignment horizontal="center" vertical="center" wrapText="1"/>
    </xf>
    <xf numFmtId="0" fontId="5" fillId="7" borderId="23" xfId="0" applyFont="1" applyFill="1" applyBorder="1" applyAlignment="1">
      <alignment horizontal="center" vertical="center" wrapText="1"/>
    </xf>
    <xf numFmtId="0" fontId="5" fillId="7" borderId="11" xfId="0" applyFont="1" applyFill="1" applyBorder="1" applyAlignment="1">
      <alignment horizontal="center" vertical="center" wrapText="1"/>
    </xf>
    <xf numFmtId="0" fontId="5" fillId="7" borderId="12" xfId="0" applyFont="1" applyFill="1" applyBorder="1" applyAlignment="1">
      <alignment horizontal="center" vertical="center" wrapText="1"/>
    </xf>
    <xf numFmtId="0" fontId="5" fillId="7" borderId="13" xfId="0" applyFont="1" applyFill="1" applyBorder="1" applyAlignment="1">
      <alignment horizontal="center" vertical="center" wrapText="1"/>
    </xf>
    <xf numFmtId="0" fontId="7" fillId="4" borderId="19" xfId="0" applyFont="1" applyFill="1" applyBorder="1" applyAlignment="1">
      <alignment horizontal="center" vertical="center" wrapText="1"/>
    </xf>
    <xf numFmtId="0" fontId="5" fillId="6" borderId="38" xfId="0" applyFont="1" applyFill="1" applyBorder="1" applyAlignment="1">
      <alignment horizontal="center" vertical="center" wrapText="1"/>
    </xf>
    <xf numFmtId="0" fontId="5" fillId="6" borderId="23" xfId="0" applyFont="1" applyFill="1" applyBorder="1" applyAlignment="1">
      <alignment horizontal="center" vertical="center" wrapText="1"/>
    </xf>
    <xf numFmtId="0" fontId="5" fillId="6" borderId="40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5" fillId="6" borderId="13" xfId="0" applyFont="1" applyFill="1" applyBorder="1" applyAlignment="1">
      <alignment horizontal="center" vertical="center" wrapText="1"/>
    </xf>
    <xf numFmtId="0" fontId="5" fillId="6" borderId="35" xfId="0" applyFont="1" applyFill="1" applyBorder="1" applyAlignment="1">
      <alignment horizontal="center" vertical="center" wrapText="1"/>
    </xf>
    <xf numFmtId="0" fontId="5" fillId="6" borderId="24" xfId="0" applyFont="1" applyFill="1" applyBorder="1" applyAlignment="1">
      <alignment horizontal="center" vertical="center" wrapText="1"/>
    </xf>
    <xf numFmtId="1" fontId="5" fillId="6" borderId="41" xfId="0" applyNumberFormat="1" applyFont="1" applyFill="1" applyBorder="1" applyAlignment="1">
      <alignment horizontal="center" vertical="center" wrapText="1"/>
    </xf>
    <xf numFmtId="1" fontId="5" fillId="6" borderId="1" xfId="0" applyNumberFormat="1" applyFont="1" applyFill="1" applyBorder="1" applyAlignment="1">
      <alignment horizontal="center" vertical="center" wrapText="1"/>
    </xf>
    <xf numFmtId="1" fontId="5" fillId="6" borderId="14" xfId="0" applyNumberFormat="1" applyFont="1" applyFill="1" applyBorder="1" applyAlignment="1">
      <alignment horizontal="center" vertical="center" wrapText="1"/>
    </xf>
    <xf numFmtId="0" fontId="5" fillId="6" borderId="39" xfId="0" applyFont="1" applyFill="1" applyBorder="1" applyAlignment="1">
      <alignment horizontal="center" vertical="center" wrapText="1"/>
    </xf>
    <xf numFmtId="0" fontId="7" fillId="4" borderId="27" xfId="0" applyFont="1" applyFill="1" applyBorder="1" applyAlignment="1">
      <alignment horizontal="center" vertical="center" wrapText="1"/>
    </xf>
    <xf numFmtId="0" fontId="7" fillId="6" borderId="30" xfId="0" applyFont="1" applyFill="1" applyBorder="1" applyAlignment="1">
      <alignment horizontal="center" vertical="center" wrapText="1"/>
    </xf>
    <xf numFmtId="0" fontId="7" fillId="6" borderId="24" xfId="0" applyFont="1" applyFill="1" applyBorder="1" applyAlignment="1">
      <alignment horizontal="center" vertical="center" wrapText="1"/>
    </xf>
    <xf numFmtId="1" fontId="7" fillId="6" borderId="41" xfId="0" applyNumberFormat="1" applyFont="1" applyFill="1" applyBorder="1" applyAlignment="1">
      <alignment horizontal="center" vertical="center" wrapText="1"/>
    </xf>
    <xf numFmtId="1" fontId="7" fillId="6" borderId="3" xfId="0" applyNumberFormat="1" applyFont="1" applyFill="1" applyBorder="1" applyAlignment="1">
      <alignment horizontal="center" vertical="center" wrapText="1"/>
    </xf>
    <xf numFmtId="1" fontId="7" fillId="6" borderId="42" xfId="0" applyNumberFormat="1" applyFont="1" applyFill="1" applyBorder="1" applyAlignment="1">
      <alignment horizontal="center" vertical="center" wrapText="1"/>
    </xf>
    <xf numFmtId="0" fontId="7" fillId="4" borderId="28" xfId="0" applyFont="1" applyFill="1" applyBorder="1" applyAlignment="1">
      <alignment horizontal="center" vertical="center" wrapText="1"/>
    </xf>
    <xf numFmtId="0" fontId="7" fillId="6" borderId="28" xfId="0" applyFont="1" applyFill="1" applyBorder="1" applyAlignment="1">
      <alignment horizontal="center" vertical="center" wrapText="1"/>
    </xf>
    <xf numFmtId="0" fontId="7" fillId="6" borderId="25" xfId="0" applyFont="1" applyFill="1" applyBorder="1" applyAlignment="1">
      <alignment horizontal="center" vertical="center" wrapText="1"/>
    </xf>
    <xf numFmtId="164" fontId="7" fillId="6" borderId="43" xfId="0" applyNumberFormat="1" applyFont="1" applyFill="1" applyBorder="1" applyAlignment="1">
      <alignment horizontal="center" vertical="center" wrapText="1"/>
    </xf>
    <xf numFmtId="164" fontId="7" fillId="6" borderId="15" xfId="0" applyNumberFormat="1" applyFont="1" applyFill="1" applyBorder="1" applyAlignment="1">
      <alignment horizontal="center" vertical="center" wrapText="1"/>
    </xf>
    <xf numFmtId="164" fontId="7" fillId="6" borderId="29" xfId="0" applyNumberFormat="1" applyFont="1" applyFill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center" vertical="center" wrapText="1"/>
    </xf>
    <xf numFmtId="0" fontId="5" fillId="5" borderId="34" xfId="0" applyFont="1" applyFill="1" applyBorder="1" applyAlignment="1">
      <alignment horizontal="center" vertical="center" wrapText="1"/>
    </xf>
    <xf numFmtId="0" fontId="5" fillId="5" borderId="24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5" borderId="35" xfId="0" applyFont="1" applyFill="1" applyBorder="1" applyAlignment="1">
      <alignment horizontal="center" vertical="center" wrapText="1"/>
    </xf>
    <xf numFmtId="0" fontId="5" fillId="5" borderId="39" xfId="0" applyFont="1" applyFill="1" applyBorder="1" applyAlignment="1">
      <alignment horizontal="center" vertical="center" wrapText="1"/>
    </xf>
    <xf numFmtId="0" fontId="5" fillId="5" borderId="26" xfId="0" applyFont="1" applyFill="1" applyBorder="1" applyAlignment="1">
      <alignment horizontal="center" vertical="center" wrapText="1"/>
    </xf>
    <xf numFmtId="0" fontId="5" fillId="5" borderId="21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22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1" fontId="7" fillId="5" borderId="44" xfId="0" applyNumberFormat="1" applyFont="1" applyFill="1" applyBorder="1" applyAlignment="1">
      <alignment horizontal="center" vertical="center" wrapText="1"/>
    </xf>
    <xf numFmtId="1" fontId="7" fillId="5" borderId="8" xfId="0" applyNumberFormat="1" applyFont="1" applyFill="1" applyBorder="1" applyAlignment="1">
      <alignment horizontal="center" vertical="center" wrapText="1"/>
    </xf>
    <xf numFmtId="0" fontId="7" fillId="9" borderId="4" xfId="0" applyFont="1" applyFill="1" applyBorder="1" applyAlignment="1">
      <alignment horizontal="center" vertical="center" wrapText="1"/>
    </xf>
    <xf numFmtId="0" fontId="5" fillId="8" borderId="5" xfId="0" applyFont="1" applyFill="1" applyBorder="1" applyAlignment="1">
      <alignment horizontal="center" vertical="center" wrapText="1"/>
    </xf>
    <xf numFmtId="0" fontId="5" fillId="8" borderId="4" xfId="0" applyFont="1" applyFill="1" applyBorder="1" applyAlignment="1">
      <alignment horizontal="center" vertical="center" wrapText="1"/>
    </xf>
    <xf numFmtId="0" fontId="5" fillId="8" borderId="8" xfId="0" applyFont="1" applyFill="1" applyBorder="1" applyAlignment="1">
      <alignment horizontal="center" vertical="center" wrapText="1"/>
    </xf>
    <xf numFmtId="0" fontId="5" fillId="8" borderId="9" xfId="0" applyFont="1" applyFill="1" applyBorder="1" applyAlignment="1">
      <alignment horizontal="center" vertical="center" wrapText="1"/>
    </xf>
    <xf numFmtId="0" fontId="5" fillId="8" borderId="10" xfId="0" applyFont="1" applyFill="1" applyBorder="1" applyAlignment="1">
      <alignment horizontal="center" vertical="center" wrapText="1"/>
    </xf>
    <xf numFmtId="1" fontId="7" fillId="5" borderId="7" xfId="0" applyNumberFormat="1" applyFont="1" applyFill="1" applyBorder="1" applyAlignment="1">
      <alignment horizontal="center" vertical="center" wrapText="1"/>
    </xf>
    <xf numFmtId="1" fontId="5" fillId="0" borderId="8" xfId="0" applyNumberFormat="1" applyFont="1" applyBorder="1" applyAlignment="1">
      <alignment horizontal="center" vertical="center" wrapText="1"/>
    </xf>
    <xf numFmtId="1" fontId="5" fillId="0" borderId="9" xfId="0" applyNumberFormat="1" applyFont="1" applyBorder="1" applyAlignment="1">
      <alignment horizontal="center" vertical="center" wrapText="1"/>
    </xf>
    <xf numFmtId="1" fontId="5" fillId="0" borderId="10" xfId="0" applyNumberFormat="1" applyFont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61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58" xfId="0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0" fillId="0" borderId="64" xfId="0" applyBorder="1" applyAlignment="1">
      <alignment horizontal="center" vertical="center" wrapText="1"/>
    </xf>
    <xf numFmtId="0" fontId="0" fillId="0" borderId="59" xfId="0" applyBorder="1" applyAlignment="1">
      <alignment horizontal="center" vertical="center" wrapText="1"/>
    </xf>
    <xf numFmtId="9" fontId="0" fillId="0" borderId="15" xfId="1" applyFont="1" applyBorder="1" applyAlignment="1">
      <alignment horizontal="center" vertical="center" wrapText="1"/>
    </xf>
    <xf numFmtId="9" fontId="0" fillId="0" borderId="40" xfId="1" applyFont="1" applyBorder="1" applyAlignment="1">
      <alignment horizontal="center" vertical="center" wrapText="1"/>
    </xf>
    <xf numFmtId="1" fontId="0" fillId="0" borderId="41" xfId="0" applyNumberForma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1" fontId="0" fillId="0" borderId="65" xfId="0" applyNumberForma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/>
    </xf>
    <xf numFmtId="0" fontId="0" fillId="3" borderId="23" xfId="0" applyFill="1" applyBorder="1" applyAlignment="1">
      <alignment horizontal="center" vertical="center" wrapText="1"/>
    </xf>
    <xf numFmtId="0" fontId="0" fillId="11" borderId="23" xfId="0" applyFill="1" applyBorder="1" applyAlignment="1">
      <alignment horizontal="center" vertical="center" wrapText="1"/>
    </xf>
    <xf numFmtId="0" fontId="0" fillId="11" borderId="24" xfId="0" applyFill="1" applyBorder="1" applyAlignment="1">
      <alignment horizontal="center" vertical="center" wrapText="1"/>
    </xf>
    <xf numFmtId="0" fontId="0" fillId="11" borderId="25" xfId="0" applyFill="1" applyBorder="1" applyAlignment="1">
      <alignment horizontal="center" vertical="center" wrapText="1"/>
    </xf>
    <xf numFmtId="1" fontId="0" fillId="3" borderId="23" xfId="0" applyNumberFormat="1" applyFill="1" applyBorder="1" applyAlignment="1">
      <alignment horizontal="center" vertical="center" wrapText="1"/>
    </xf>
    <xf numFmtId="1" fontId="0" fillId="11" borderId="23" xfId="0" applyNumberFormat="1" applyFill="1" applyBorder="1" applyAlignment="1">
      <alignment horizontal="center" vertical="center" wrapText="1"/>
    </xf>
    <xf numFmtId="1" fontId="0" fillId="3" borderId="19" xfId="0" applyNumberFormat="1" applyFill="1" applyBorder="1" applyAlignment="1">
      <alignment horizontal="center" vertical="center" wrapText="1"/>
    </xf>
    <xf numFmtId="1" fontId="0" fillId="11" borderId="19" xfId="0" applyNumberFormat="1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1" fontId="0" fillId="11" borderId="26" xfId="0" applyNumberFormat="1" applyFill="1" applyBorder="1" applyAlignment="1">
      <alignment horizontal="center" vertical="center" wrapText="1"/>
    </xf>
    <xf numFmtId="1" fontId="0" fillId="3" borderId="24" xfId="0" applyNumberFormat="1" applyFill="1" applyBorder="1" applyAlignment="1">
      <alignment horizontal="center" vertical="center" wrapText="1"/>
    </xf>
    <xf numFmtId="1" fontId="0" fillId="11" borderId="24" xfId="0" applyNumberFormat="1" applyFill="1" applyBorder="1" applyAlignment="1">
      <alignment horizontal="center" vertical="center" wrapText="1"/>
    </xf>
    <xf numFmtId="1" fontId="0" fillId="3" borderId="25" xfId="0" applyNumberFormat="1" applyFill="1" applyBorder="1" applyAlignment="1">
      <alignment horizontal="center" vertical="center" wrapText="1"/>
    </xf>
    <xf numFmtId="1" fontId="0" fillId="11" borderId="25" xfId="0" applyNumberFormat="1" applyFill="1" applyBorder="1" applyAlignment="1">
      <alignment horizontal="center" vertical="center" wrapText="1"/>
    </xf>
    <xf numFmtId="1" fontId="0" fillId="3" borderId="63" xfId="0" applyNumberFormat="1" applyFill="1" applyBorder="1" applyAlignment="1">
      <alignment horizontal="center" vertical="center" wrapText="1"/>
    </xf>
    <xf numFmtId="1" fontId="0" fillId="3" borderId="42" xfId="0" applyNumberFormat="1" applyFill="1" applyBorder="1" applyAlignment="1">
      <alignment horizontal="center" vertical="center" wrapText="1"/>
    </xf>
    <xf numFmtId="1" fontId="0" fillId="3" borderId="29" xfId="0" applyNumberFormat="1" applyFill="1" applyBorder="1" applyAlignment="1">
      <alignment horizontal="center" vertical="center" wrapText="1"/>
    </xf>
    <xf numFmtId="1" fontId="0" fillId="11" borderId="29" xfId="0" applyNumberFormat="1" applyFill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1" fontId="6" fillId="2" borderId="9" xfId="0" applyNumberFormat="1" applyFont="1" applyFill="1" applyBorder="1" applyAlignment="1">
      <alignment horizontal="center" vertical="center" wrapText="1"/>
    </xf>
    <xf numFmtId="1" fontId="6" fillId="2" borderId="10" xfId="0" applyNumberFormat="1" applyFont="1" applyFill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61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58" xfId="0" applyBorder="1" applyAlignment="1">
      <alignment horizontal="center" vertical="center" wrapText="1"/>
    </xf>
    <xf numFmtId="0" fontId="6" fillId="11" borderId="56" xfId="0" applyFont="1" applyFill="1" applyBorder="1" applyAlignment="1">
      <alignment horizontal="center" vertical="center" wrapText="1"/>
    </xf>
    <xf numFmtId="0" fontId="6" fillId="11" borderId="8" xfId="0" applyFont="1" applyFill="1" applyBorder="1" applyAlignment="1">
      <alignment horizontal="center" vertical="center" wrapText="1"/>
    </xf>
    <xf numFmtId="0" fontId="6" fillId="11" borderId="9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164" fontId="5" fillId="5" borderId="45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Déperdition</a:t>
            </a:r>
            <a:r>
              <a:rPr lang="fr-FR" baseline="0"/>
              <a:t> par transmission = f (épaisseur isolant)</a:t>
            </a:r>
            <a:endParaRPr lang="fr-FR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1"/>
          <c:order val="0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poly"/>
            <c:order val="3"/>
            <c:dispRSqr val="0"/>
            <c:dispEq val="0"/>
          </c:trendline>
          <c:xVal>
            <c:numRef>
              <c:f>'Partie 1'!$E$14:$K$14</c:f>
              <c:numCache>
                <c:formatCode>General</c:formatCode>
                <c:ptCount val="7"/>
                <c:pt idx="0">
                  <c:v>0</c:v>
                </c:pt>
                <c:pt idx="1">
                  <c:v>7.8</c:v>
                </c:pt>
                <c:pt idx="2">
                  <c:v>9.6</c:v>
                </c:pt>
                <c:pt idx="3" formatCode="0.0">
                  <c:v>13</c:v>
                </c:pt>
                <c:pt idx="4">
                  <c:v>15.2</c:v>
                </c:pt>
                <c:pt idx="5">
                  <c:v>21.6</c:v>
                </c:pt>
                <c:pt idx="6">
                  <c:v>26</c:v>
                </c:pt>
              </c:numCache>
            </c:numRef>
          </c:xVal>
          <c:yVal>
            <c:numRef>
              <c:f>'Partie 1'!$E$24:$K$24</c:f>
              <c:numCache>
                <c:formatCode>0</c:formatCode>
                <c:ptCount val="7"/>
                <c:pt idx="0">
                  <c:v>17873</c:v>
                </c:pt>
                <c:pt idx="1">
                  <c:v>7116</c:v>
                </c:pt>
                <c:pt idx="2">
                  <c:v>6504</c:v>
                </c:pt>
                <c:pt idx="3">
                  <c:v>5709</c:v>
                </c:pt>
                <c:pt idx="4">
                  <c:v>4582</c:v>
                </c:pt>
                <c:pt idx="5">
                  <c:v>2913</c:v>
                </c:pt>
                <c:pt idx="6">
                  <c:v>2792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C4E-4575-A4E0-E1C61BBA24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5890048"/>
        <c:axId val="135891584"/>
      </c:scatterChart>
      <c:valAx>
        <c:axId val="1358900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5891584"/>
        <c:crosses val="autoZero"/>
        <c:crossBetween val="midCat"/>
      </c:valAx>
      <c:valAx>
        <c:axId val="135891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58900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'Partie 1'!$C$35</c:f>
              <c:strCache>
                <c:ptCount val="1"/>
                <c:pt idx="0">
                  <c:v>Besoins totaux</c:v>
                </c:pt>
              </c:strCache>
            </c:strRef>
          </c:tx>
          <c:cat>
            <c:strRef>
              <c:f>'Partie 1'!$E$3:$K$3</c:f>
              <c:strCache>
                <c:ptCount val="7"/>
                <c:pt idx="0">
                  <c:v>1970</c:v>
                </c:pt>
                <c:pt idx="1">
                  <c:v>1982</c:v>
                </c:pt>
                <c:pt idx="2">
                  <c:v>1989</c:v>
                </c:pt>
                <c:pt idx="3">
                  <c:v>2000</c:v>
                </c:pt>
                <c:pt idx="4">
                  <c:v>2005</c:v>
                </c:pt>
                <c:pt idx="5">
                  <c:v>2012</c:v>
                </c:pt>
                <c:pt idx="6">
                  <c:v>2020</c:v>
                </c:pt>
              </c:strCache>
            </c:strRef>
          </c:cat>
          <c:val>
            <c:numRef>
              <c:f>'Partie 1'!$E$35:$K$35</c:f>
              <c:numCache>
                <c:formatCode>0</c:formatCode>
                <c:ptCount val="7"/>
                <c:pt idx="0">
                  <c:v>194.9576783555018</c:v>
                </c:pt>
                <c:pt idx="1">
                  <c:v>91.751956652618901</c:v>
                </c:pt>
                <c:pt idx="2">
                  <c:v>84.993954050785973</c:v>
                </c:pt>
                <c:pt idx="3">
                  <c:v>67.481796116504853</c:v>
                </c:pt>
                <c:pt idx="4">
                  <c:v>42.420924574209245</c:v>
                </c:pt>
                <c:pt idx="5">
                  <c:v>17.465495608531995</c:v>
                </c:pt>
                <c:pt idx="6">
                  <c:v>-2.3401613904407199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A01-4D85-8DDF-6B55D346D2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7060352"/>
        <c:axId val="137061888"/>
      </c:lineChart>
      <c:lineChart>
        <c:grouping val="standard"/>
        <c:varyColors val="0"/>
        <c:ser>
          <c:idx val="0"/>
          <c:order val="0"/>
          <c:tx>
            <c:strRef>
              <c:f>'Partie 1'!$B$36</c:f>
              <c:strCache>
                <c:ptCount val="1"/>
                <c:pt idx="0">
                  <c:v>Taux d'incorfort</c:v>
                </c:pt>
              </c:strCache>
            </c:strRef>
          </c:tx>
          <c:cat>
            <c:strRef>
              <c:f>'Partie 1'!$E$3:$K$3</c:f>
              <c:strCache>
                <c:ptCount val="7"/>
                <c:pt idx="0">
                  <c:v>1970</c:v>
                </c:pt>
                <c:pt idx="1">
                  <c:v>1982</c:v>
                </c:pt>
                <c:pt idx="2">
                  <c:v>1989</c:v>
                </c:pt>
                <c:pt idx="3">
                  <c:v>2000</c:v>
                </c:pt>
                <c:pt idx="4">
                  <c:v>2005</c:v>
                </c:pt>
                <c:pt idx="5">
                  <c:v>2012</c:v>
                </c:pt>
                <c:pt idx="6">
                  <c:v>2020</c:v>
                </c:pt>
              </c:strCache>
            </c:strRef>
          </c:cat>
          <c:val>
            <c:numRef>
              <c:f>'Partie 1'!$E$36:$K$36</c:f>
              <c:numCache>
                <c:formatCode>General</c:formatCode>
                <c:ptCount val="7"/>
                <c:pt idx="0">
                  <c:v>5</c:v>
                </c:pt>
                <c:pt idx="1">
                  <c:v>14</c:v>
                </c:pt>
                <c:pt idx="2">
                  <c:v>15</c:v>
                </c:pt>
                <c:pt idx="3">
                  <c:v>19</c:v>
                </c:pt>
                <c:pt idx="4">
                  <c:v>19</c:v>
                </c:pt>
                <c:pt idx="5">
                  <c:v>38</c:v>
                </c:pt>
                <c:pt idx="6">
                  <c:v>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A01-4D85-8DDF-6B55D346D2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7069312"/>
        <c:axId val="137063424"/>
      </c:lineChart>
      <c:catAx>
        <c:axId val="1370603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37061888"/>
        <c:crosses val="autoZero"/>
        <c:auto val="1"/>
        <c:lblAlgn val="ctr"/>
        <c:lblOffset val="100"/>
        <c:noMultiLvlLbl val="0"/>
      </c:catAx>
      <c:valAx>
        <c:axId val="137061888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137060352"/>
        <c:crosses val="autoZero"/>
        <c:crossBetween val="between"/>
      </c:valAx>
      <c:valAx>
        <c:axId val="13706342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137069312"/>
        <c:crosses val="max"/>
        <c:crossBetween val="between"/>
      </c:valAx>
      <c:catAx>
        <c:axId val="1370693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37063424"/>
        <c:crosses val="autoZero"/>
        <c:auto val="1"/>
        <c:lblAlgn val="ctr"/>
        <c:lblOffset val="100"/>
        <c:noMultiLvlLbl val="0"/>
      </c:cat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trlProps/ctrlProp1.xml><?xml version="1.0" encoding="utf-8"?>
<formControlPr xmlns="http://schemas.microsoft.com/office/spreadsheetml/2009/9/main" objectType="Scroll" dx="26" fmlaLink="$E$6" horiz="1" max="10" page="0" val="3"/>
</file>

<file path=xl/ctrlProps/ctrlProp2.xml><?xml version="1.0" encoding="utf-8"?>
<formControlPr xmlns="http://schemas.microsoft.com/office/spreadsheetml/2009/9/main" objectType="Scroll" dx="26" fmlaLink="$E$9" horiz="1" max="10" page="0" val="3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186266</xdr:colOff>
      <xdr:row>4</xdr:row>
      <xdr:rowOff>21165</xdr:rowOff>
    </xdr:from>
    <xdr:to>
      <xdr:col>18</xdr:col>
      <xdr:colOff>287866</xdr:colOff>
      <xdr:row>12</xdr:row>
      <xdr:rowOff>380999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42334</xdr:colOff>
      <xdr:row>5</xdr:row>
      <xdr:rowOff>169333</xdr:rowOff>
    </xdr:from>
    <xdr:to>
      <xdr:col>12</xdr:col>
      <xdr:colOff>541867</xdr:colOff>
      <xdr:row>6</xdr:row>
      <xdr:rowOff>33867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0354734" y="1854200"/>
          <a:ext cx="499533" cy="254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P (W)</a:t>
          </a:r>
        </a:p>
      </xdr:txBody>
    </xdr:sp>
    <xdr:clientData/>
  </xdr:twoCellAnchor>
  <xdr:twoCellAnchor>
    <xdr:from>
      <xdr:col>17</xdr:col>
      <xdr:colOff>296334</xdr:colOff>
      <xdr:row>11</xdr:row>
      <xdr:rowOff>203199</xdr:rowOff>
    </xdr:from>
    <xdr:to>
      <xdr:col>18</xdr:col>
      <xdr:colOff>76200</xdr:colOff>
      <xdr:row>12</xdr:row>
      <xdr:rowOff>33867</xdr:rowOff>
    </xdr:to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4588067" y="4224866"/>
          <a:ext cx="575733" cy="22013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e (cm)</a:t>
          </a:r>
        </a:p>
      </xdr:txBody>
    </xdr:sp>
    <xdr:clientData/>
  </xdr:twoCellAnchor>
  <xdr:twoCellAnchor>
    <xdr:from>
      <xdr:col>11</xdr:col>
      <xdr:colOff>176893</xdr:colOff>
      <xdr:row>13</xdr:row>
      <xdr:rowOff>190500</xdr:rowOff>
    </xdr:from>
    <xdr:to>
      <xdr:col>19</xdr:col>
      <xdr:colOff>707572</xdr:colOff>
      <xdr:row>20</xdr:row>
      <xdr:rowOff>299357</xdr:rowOff>
    </xdr:to>
    <xdr:graphicFrame macro="">
      <xdr:nvGraphicFramePr>
        <xdr:cNvPr id="7" name="Graphiqu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762000</xdr:colOff>
      <xdr:row>18</xdr:row>
      <xdr:rowOff>244928</xdr:rowOff>
    </xdr:from>
    <xdr:to>
      <xdr:col>17</xdr:col>
      <xdr:colOff>541866</xdr:colOff>
      <xdr:row>19</xdr:row>
      <xdr:rowOff>75596</xdr:rowOff>
    </xdr:to>
    <xdr:sp macro="" textlink="">
      <xdr:nvSpPr>
        <xdr:cNvPr id="8" name="ZoneText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16002000" y="9443357"/>
          <a:ext cx="555473" cy="2116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Année</a:t>
          </a:r>
        </a:p>
      </xdr:txBody>
    </xdr:sp>
    <xdr:clientData/>
  </xdr:twoCellAnchor>
  <xdr:twoCellAnchor>
    <xdr:from>
      <xdr:col>17</xdr:col>
      <xdr:colOff>762003</xdr:colOff>
      <xdr:row>13</xdr:row>
      <xdr:rowOff>149679</xdr:rowOff>
    </xdr:from>
    <xdr:to>
      <xdr:col>19</xdr:col>
      <xdr:colOff>272145</xdr:colOff>
      <xdr:row>14</xdr:row>
      <xdr:rowOff>81643</xdr:rowOff>
    </xdr:to>
    <xdr:sp macro="" textlink="">
      <xdr:nvSpPr>
        <xdr:cNvPr id="10" name="ZoneText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16777610" y="5129893"/>
          <a:ext cx="1061356" cy="4626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fr-FR" sz="1100"/>
            <a:t>Taux</a:t>
          </a:r>
          <a:r>
            <a:rPr lang="fr-FR" sz="1100" baseline="0"/>
            <a:t> d'inconfort (%)</a:t>
          </a:r>
          <a:endParaRPr lang="fr-FR" sz="1100"/>
        </a:p>
      </xdr:txBody>
    </xdr:sp>
    <xdr:clientData/>
  </xdr:twoCellAnchor>
  <xdr:twoCellAnchor>
    <xdr:from>
      <xdr:col>11</xdr:col>
      <xdr:colOff>449036</xdr:colOff>
      <xdr:row>13</xdr:row>
      <xdr:rowOff>122466</xdr:rowOff>
    </xdr:from>
    <xdr:to>
      <xdr:col>13</xdr:col>
      <xdr:colOff>40821</xdr:colOff>
      <xdr:row>14</xdr:row>
      <xdr:rowOff>54430</xdr:rowOff>
    </xdr:to>
    <xdr:sp macro="" textlink="">
      <xdr:nvSpPr>
        <xdr:cNvPr id="11" name="ZoneText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11811000" y="5102680"/>
          <a:ext cx="1143000" cy="4626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fr-FR" sz="1100"/>
            <a:t>Besoins</a:t>
          </a:r>
        </a:p>
        <a:p>
          <a:pPr algn="ctr"/>
          <a:r>
            <a:rPr lang="fr-FR" sz="1100" baseline="0"/>
            <a:t>(kW.h/m².an)</a:t>
          </a:r>
          <a:endParaRPr lang="fr-FR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76200</xdr:colOff>
      <xdr:row>29</xdr:row>
      <xdr:rowOff>129540</xdr:rowOff>
    </xdr:from>
    <xdr:to>
      <xdr:col>9</xdr:col>
      <xdr:colOff>571500</xdr:colOff>
      <xdr:row>38</xdr:row>
      <xdr:rowOff>102870</xdr:rowOff>
    </xdr:to>
    <xdr:pic>
      <xdr:nvPicPr>
        <xdr:cNvPr id="2" name="Image 1" descr="Afficher l'image d'origin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2632"/>
        <a:stretch/>
      </xdr:blipFill>
      <xdr:spPr bwMode="auto">
        <a:xfrm>
          <a:off x="10378440" y="5760720"/>
          <a:ext cx="1706880" cy="18249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388620</xdr:colOff>
      <xdr:row>19</xdr:row>
      <xdr:rowOff>106680</xdr:rowOff>
    </xdr:from>
    <xdr:to>
      <xdr:col>2</xdr:col>
      <xdr:colOff>1127760</xdr:colOff>
      <xdr:row>28</xdr:row>
      <xdr:rowOff>114300</xdr:rowOff>
    </xdr:to>
    <xdr:sp macro="" textlink="">
      <xdr:nvSpPr>
        <xdr:cNvPr id="3" name="objec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 noChangeArrowheads="1"/>
        </xdr:cNvSpPr>
      </xdr:nvSpPr>
      <xdr:spPr bwMode="auto">
        <a:xfrm>
          <a:off x="533400" y="3870960"/>
          <a:ext cx="1813560" cy="1684020"/>
        </a:xfrm>
        <a:prstGeom prst="rect">
          <a:avLst/>
        </a:prstGeom>
        <a:blipFill dpi="0" rotWithShape="1">
          <a:blip xmlns:r="http://schemas.openxmlformats.org/officeDocument/2006/relationships" r:embed="rId2" cstate="print"/>
          <a:srcRect/>
          <a:stretch>
            <a:fillRect/>
          </a:stretch>
        </a:blip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22860</xdr:colOff>
          <xdr:row>5</xdr:row>
          <xdr:rowOff>0</xdr:rowOff>
        </xdr:from>
        <xdr:to>
          <xdr:col>7</xdr:col>
          <xdr:colOff>457200</xdr:colOff>
          <xdr:row>6</xdr:row>
          <xdr:rowOff>0</xdr:rowOff>
        </xdr:to>
        <xdr:sp macro="" textlink="">
          <xdr:nvSpPr>
            <xdr:cNvPr id="3073" name="Scroll Bar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1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22860</xdr:colOff>
          <xdr:row>8</xdr:row>
          <xdr:rowOff>0</xdr:rowOff>
        </xdr:from>
        <xdr:to>
          <xdr:col>7</xdr:col>
          <xdr:colOff>457200</xdr:colOff>
          <xdr:row>9</xdr:row>
          <xdr:rowOff>0</xdr:rowOff>
        </xdr:to>
        <xdr:sp macro="" textlink="">
          <xdr:nvSpPr>
            <xdr:cNvPr id="3074" name="Scroll Bar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1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professionnels/BTS%20FED/Projet%20FED1/Projet%20Etude%20&#233;nerg&#233;tique,%20r&#232;glementaire%20et%20&#233;conomique%20d&#8217;une%20maison%20individuelle/2021/Projet%20REMSES%202021%20(Correction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tie 1"/>
      <sheetName val="Partie 3"/>
    </sheetNames>
    <sheetDataSet>
      <sheetData sheetId="0">
        <row r="28">
          <cell r="E28">
            <v>28306</v>
          </cell>
        </row>
        <row r="30">
          <cell r="E30">
            <v>499</v>
          </cell>
        </row>
        <row r="32">
          <cell r="E32">
            <v>1744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K36"/>
  <sheetViews>
    <sheetView showGridLines="0" tabSelected="1" zoomScale="70" zoomScaleNormal="70" workbookViewId="0">
      <pane xSplit="4" topLeftCell="G1" activePane="topRight" state="frozen"/>
      <selection pane="topRight" activeCell="K26" sqref="K26"/>
    </sheetView>
  </sheetViews>
  <sheetFormatPr baseColWidth="10" defaultColWidth="11.5546875" defaultRowHeight="12" x14ac:dyDescent="0.3"/>
  <cols>
    <col min="1" max="1" width="2.5546875" style="1" customWidth="1"/>
    <col min="2" max="2" width="17.5546875" style="2" customWidth="1"/>
    <col min="3" max="3" width="16.6640625" style="1" customWidth="1"/>
    <col min="4" max="4" width="17.6640625" style="1" customWidth="1"/>
    <col min="5" max="11" width="16.5546875" style="1" customWidth="1"/>
    <col min="12" max="16384" width="11.5546875" style="1"/>
  </cols>
  <sheetData>
    <row r="1" spans="2:11" ht="12.6" thickBot="1" x14ac:dyDescent="0.35"/>
    <row r="2" spans="2:11" s="3" customFormat="1" ht="28.2" customHeight="1" thickBot="1" x14ac:dyDescent="0.35">
      <c r="B2" s="80"/>
      <c r="C2" s="81" t="s">
        <v>39</v>
      </c>
      <c r="D2" s="81"/>
      <c r="E2" s="81"/>
      <c r="F2" s="81"/>
      <c r="G2" s="81"/>
      <c r="H2" s="81"/>
      <c r="I2" s="81"/>
      <c r="J2" s="81"/>
      <c r="K2" s="82"/>
    </row>
    <row r="3" spans="2:11" ht="45" customHeight="1" thickBot="1" x14ac:dyDescent="0.35">
      <c r="B3" s="83"/>
      <c r="C3" s="84" t="s">
        <v>21</v>
      </c>
      <c r="D3" s="85" t="s">
        <v>5</v>
      </c>
      <c r="E3" s="156" t="s">
        <v>124</v>
      </c>
      <c r="F3" s="157" t="s">
        <v>125</v>
      </c>
      <c r="G3" s="157" t="s">
        <v>126</v>
      </c>
      <c r="H3" s="157" t="s">
        <v>127</v>
      </c>
      <c r="I3" s="157" t="s">
        <v>128</v>
      </c>
      <c r="J3" s="157" t="s">
        <v>129</v>
      </c>
      <c r="K3" s="158">
        <v>2020</v>
      </c>
    </row>
    <row r="4" spans="2:11" ht="30.6" customHeight="1" x14ac:dyDescent="0.3">
      <c r="B4" s="86"/>
      <c r="C4" s="5" t="s">
        <v>0</v>
      </c>
      <c r="D4" s="87" t="s">
        <v>42</v>
      </c>
      <c r="E4" s="6" t="s">
        <v>1</v>
      </c>
      <c r="F4" s="4">
        <v>0.53</v>
      </c>
      <c r="G4" s="4">
        <v>0.42</v>
      </c>
      <c r="H4" s="4">
        <v>0.35</v>
      </c>
      <c r="I4" s="4">
        <v>0.32</v>
      </c>
      <c r="J4" s="4">
        <v>0.23</v>
      </c>
      <c r="K4" s="13">
        <v>0.18</v>
      </c>
    </row>
    <row r="5" spans="2:11" ht="30.6" customHeight="1" thickBot="1" x14ac:dyDescent="0.35">
      <c r="B5" s="88"/>
      <c r="C5" s="7"/>
      <c r="D5" s="89" t="s">
        <v>120</v>
      </c>
      <c r="E5" s="18">
        <v>0</v>
      </c>
      <c r="F5" s="19">
        <v>5</v>
      </c>
      <c r="G5" s="19">
        <v>7</v>
      </c>
      <c r="H5" s="19">
        <v>9</v>
      </c>
      <c r="I5" s="19">
        <v>10</v>
      </c>
      <c r="J5" s="19">
        <v>15</v>
      </c>
      <c r="K5" s="14">
        <v>20</v>
      </c>
    </row>
    <row r="6" spans="2:11" ht="30.6" customHeight="1" x14ac:dyDescent="0.3">
      <c r="B6" s="88"/>
      <c r="C6" s="5" t="s">
        <v>31</v>
      </c>
      <c r="D6" s="87" t="s">
        <v>42</v>
      </c>
      <c r="E6" s="6" t="s">
        <v>1</v>
      </c>
      <c r="F6" s="4">
        <v>0.35</v>
      </c>
      <c r="G6" s="4">
        <v>0.35</v>
      </c>
      <c r="H6" s="4">
        <v>0.22</v>
      </c>
      <c r="I6" s="4">
        <v>0.19</v>
      </c>
      <c r="J6" s="4">
        <v>0.13</v>
      </c>
      <c r="K6" s="13">
        <v>0.13</v>
      </c>
    </row>
    <row r="7" spans="2:11" ht="30.6" customHeight="1" thickBot="1" x14ac:dyDescent="0.35">
      <c r="B7" s="88"/>
      <c r="C7" s="7"/>
      <c r="D7" s="89" t="s">
        <v>120</v>
      </c>
      <c r="E7" s="20">
        <v>0</v>
      </c>
      <c r="F7" s="21">
        <v>10</v>
      </c>
      <c r="G7" s="21">
        <v>10</v>
      </c>
      <c r="H7" s="21">
        <v>17</v>
      </c>
      <c r="I7" s="21">
        <v>20</v>
      </c>
      <c r="J7" s="21">
        <v>30</v>
      </c>
      <c r="K7" s="15">
        <v>30</v>
      </c>
    </row>
    <row r="8" spans="2:11" ht="30.6" customHeight="1" x14ac:dyDescent="0.3">
      <c r="B8" s="88"/>
      <c r="C8" s="5" t="s">
        <v>32</v>
      </c>
      <c r="D8" s="87" t="s">
        <v>42</v>
      </c>
      <c r="E8" s="6" t="s">
        <v>1</v>
      </c>
      <c r="F8" s="4">
        <v>0.36</v>
      </c>
      <c r="G8" s="4">
        <v>0.31</v>
      </c>
      <c r="H8" s="4">
        <v>0.27</v>
      </c>
      <c r="I8" s="4">
        <v>0.25</v>
      </c>
      <c r="J8" s="4">
        <v>0.19</v>
      </c>
      <c r="K8" s="13">
        <v>0.15</v>
      </c>
    </row>
    <row r="9" spans="2:11" ht="30.6" customHeight="1" thickBot="1" x14ac:dyDescent="0.35">
      <c r="B9" s="88"/>
      <c r="C9" s="7"/>
      <c r="D9" s="89" t="s">
        <v>120</v>
      </c>
      <c r="E9" s="18">
        <v>0</v>
      </c>
      <c r="F9" s="21">
        <v>10</v>
      </c>
      <c r="G9" s="21">
        <v>12</v>
      </c>
      <c r="H9" s="21">
        <v>14</v>
      </c>
      <c r="I9" s="21">
        <v>15</v>
      </c>
      <c r="J9" s="21">
        <v>20</v>
      </c>
      <c r="K9" s="15">
        <v>25</v>
      </c>
    </row>
    <row r="10" spans="2:11" ht="37.200000000000003" customHeight="1" x14ac:dyDescent="0.3">
      <c r="B10" s="88"/>
      <c r="C10" s="5" t="s">
        <v>33</v>
      </c>
      <c r="D10" s="87" t="s">
        <v>42</v>
      </c>
      <c r="E10" s="6" t="s">
        <v>1</v>
      </c>
      <c r="F10" s="4">
        <v>0.34</v>
      </c>
      <c r="G10" s="4">
        <v>0.27</v>
      </c>
      <c r="H10" s="4">
        <v>0.22</v>
      </c>
      <c r="I10" s="4">
        <v>0.19</v>
      </c>
      <c r="J10" s="4">
        <v>0.13</v>
      </c>
      <c r="K10" s="13">
        <v>0.1</v>
      </c>
    </row>
    <row r="11" spans="2:11" ht="30.6" customHeight="1" thickBot="1" x14ac:dyDescent="0.35">
      <c r="B11" s="88"/>
      <c r="C11" s="7"/>
      <c r="D11" s="89" t="s">
        <v>120</v>
      </c>
      <c r="E11" s="18">
        <v>0</v>
      </c>
      <c r="F11" s="21">
        <v>10</v>
      </c>
      <c r="G11" s="21">
        <v>13</v>
      </c>
      <c r="H11" s="21">
        <v>17</v>
      </c>
      <c r="I11" s="21">
        <v>20</v>
      </c>
      <c r="J11" s="21">
        <v>30</v>
      </c>
      <c r="K11" s="15">
        <v>40</v>
      </c>
    </row>
    <row r="12" spans="2:11" ht="30.6" customHeight="1" x14ac:dyDescent="0.3">
      <c r="B12" s="88"/>
      <c r="C12" s="5" t="s">
        <v>24</v>
      </c>
      <c r="D12" s="87" t="s">
        <v>42</v>
      </c>
      <c r="E12" s="6" t="s">
        <v>1</v>
      </c>
      <c r="F12" s="4">
        <v>0.69</v>
      </c>
      <c r="G12" s="4">
        <v>0.49</v>
      </c>
      <c r="H12" s="4">
        <v>0.38</v>
      </c>
      <c r="I12" s="4">
        <v>0.28000000000000003</v>
      </c>
      <c r="J12" s="4">
        <v>0.24</v>
      </c>
      <c r="K12" s="13">
        <v>0.21</v>
      </c>
    </row>
    <row r="13" spans="2:11" ht="30.6" customHeight="1" thickBot="1" x14ac:dyDescent="0.35">
      <c r="B13" s="88"/>
      <c r="C13" s="7"/>
      <c r="D13" s="89" t="s">
        <v>120</v>
      </c>
      <c r="E13" s="18">
        <v>0</v>
      </c>
      <c r="F13" s="19">
        <v>4</v>
      </c>
      <c r="G13" s="19">
        <v>6</v>
      </c>
      <c r="H13" s="19">
        <v>8</v>
      </c>
      <c r="I13" s="19">
        <v>11</v>
      </c>
      <c r="J13" s="19">
        <v>13</v>
      </c>
      <c r="K13" s="14">
        <v>15</v>
      </c>
    </row>
    <row r="14" spans="2:11" ht="42.6" customHeight="1" thickBot="1" x14ac:dyDescent="0.35">
      <c r="B14" s="88"/>
      <c r="C14" s="10" t="s">
        <v>60</v>
      </c>
      <c r="D14" s="90" t="s">
        <v>61</v>
      </c>
      <c r="E14" s="22">
        <f>(E5+E7+E9+E11+E13)/5</f>
        <v>0</v>
      </c>
      <c r="F14" s="22">
        <f t="shared" ref="F14:K14" si="0">(F5+F7+F9+F11+F13)/5</f>
        <v>7.8</v>
      </c>
      <c r="G14" s="22">
        <f t="shared" si="0"/>
        <v>9.6</v>
      </c>
      <c r="H14" s="215">
        <f t="shared" si="0"/>
        <v>13</v>
      </c>
      <c r="I14" s="22">
        <f t="shared" si="0"/>
        <v>15.2</v>
      </c>
      <c r="J14" s="22">
        <f t="shared" si="0"/>
        <v>21.6</v>
      </c>
      <c r="K14" s="16">
        <f t="shared" si="0"/>
        <v>26</v>
      </c>
    </row>
    <row r="15" spans="2:11" ht="30.6" customHeight="1" thickBot="1" x14ac:dyDescent="0.35">
      <c r="B15" s="88"/>
      <c r="C15" s="11" t="s">
        <v>57</v>
      </c>
      <c r="D15" s="85" t="s">
        <v>58</v>
      </c>
      <c r="E15" s="12" t="s">
        <v>4</v>
      </c>
      <c r="F15" s="12" t="s">
        <v>4</v>
      </c>
      <c r="G15" s="12" t="s">
        <v>4</v>
      </c>
      <c r="H15" s="12" t="s">
        <v>4</v>
      </c>
      <c r="I15" s="12" t="s">
        <v>4</v>
      </c>
      <c r="J15" s="12" t="s">
        <v>59</v>
      </c>
      <c r="K15" s="17" t="s">
        <v>59</v>
      </c>
    </row>
    <row r="16" spans="2:11" ht="113.4" customHeight="1" x14ac:dyDescent="0.3">
      <c r="B16" s="88" t="s">
        <v>40</v>
      </c>
      <c r="C16" s="8" t="s">
        <v>25</v>
      </c>
      <c r="D16" s="91"/>
      <c r="E16" s="92" t="s">
        <v>26</v>
      </c>
      <c r="F16" s="93" t="s">
        <v>49</v>
      </c>
      <c r="G16" s="93" t="s">
        <v>43</v>
      </c>
      <c r="H16" s="93" t="s">
        <v>44</v>
      </c>
      <c r="I16" s="93" t="s">
        <v>50</v>
      </c>
      <c r="J16" s="93" t="s">
        <v>51</v>
      </c>
      <c r="K16" s="94" t="s">
        <v>34</v>
      </c>
    </row>
    <row r="17" spans="2:11" ht="95.4" customHeight="1" x14ac:dyDescent="0.3">
      <c r="B17" s="88"/>
      <c r="C17" s="9" t="s">
        <v>3</v>
      </c>
      <c r="D17" s="95"/>
      <c r="E17" s="96" t="s">
        <v>27</v>
      </c>
      <c r="F17" s="97" t="s">
        <v>28</v>
      </c>
      <c r="G17" s="97" t="s">
        <v>28</v>
      </c>
      <c r="H17" s="97" t="s">
        <v>28</v>
      </c>
      <c r="I17" s="97" t="s">
        <v>45</v>
      </c>
      <c r="J17" s="97" t="s">
        <v>46</v>
      </c>
      <c r="K17" s="98" t="s">
        <v>53</v>
      </c>
    </row>
    <row r="18" spans="2:11" ht="52.2" customHeight="1" x14ac:dyDescent="0.3">
      <c r="B18" s="88"/>
      <c r="C18" s="9" t="s">
        <v>29</v>
      </c>
      <c r="D18" s="95"/>
      <c r="E18" s="96" t="s">
        <v>4</v>
      </c>
      <c r="F18" s="97" t="s">
        <v>4</v>
      </c>
      <c r="G18" s="97" t="s">
        <v>4</v>
      </c>
      <c r="H18" s="97" t="s">
        <v>4</v>
      </c>
      <c r="I18" s="97" t="s">
        <v>47</v>
      </c>
      <c r="J18" s="97" t="s">
        <v>47</v>
      </c>
      <c r="K18" s="98" t="s">
        <v>47</v>
      </c>
    </row>
    <row r="19" spans="2:11" ht="30.6" customHeight="1" x14ac:dyDescent="0.3">
      <c r="B19" s="88"/>
      <c r="C19" s="9" t="s">
        <v>2</v>
      </c>
      <c r="D19" s="95" t="s">
        <v>30</v>
      </c>
      <c r="E19" s="96">
        <v>3</v>
      </c>
      <c r="F19" s="97">
        <v>3</v>
      </c>
      <c r="G19" s="97">
        <v>3</v>
      </c>
      <c r="H19" s="97">
        <v>2</v>
      </c>
      <c r="I19" s="97">
        <v>1.2</v>
      </c>
      <c r="J19" s="97">
        <v>0.6</v>
      </c>
      <c r="K19" s="98">
        <v>0.15</v>
      </c>
    </row>
    <row r="20" spans="2:11" ht="30.6" customHeight="1" x14ac:dyDescent="0.3">
      <c r="B20" s="88"/>
      <c r="C20" s="9" t="s">
        <v>35</v>
      </c>
      <c r="D20" s="95" t="s">
        <v>52</v>
      </c>
      <c r="E20" s="96">
        <v>0</v>
      </c>
      <c r="F20" s="97">
        <v>0</v>
      </c>
      <c r="G20" s="97">
        <v>0</v>
      </c>
      <c r="H20" s="97">
        <v>0</v>
      </c>
      <c r="I20" s="97">
        <v>0</v>
      </c>
      <c r="J20" s="97" t="s">
        <v>121</v>
      </c>
      <c r="K20" s="98" t="s">
        <v>121</v>
      </c>
    </row>
    <row r="21" spans="2:11" ht="30.6" customHeight="1" thickBot="1" x14ac:dyDescent="0.35">
      <c r="B21" s="88"/>
      <c r="C21" s="99" t="s">
        <v>36</v>
      </c>
      <c r="D21" s="100" t="s">
        <v>48</v>
      </c>
      <c r="E21" s="101">
        <v>0</v>
      </c>
      <c r="F21" s="102">
        <v>0</v>
      </c>
      <c r="G21" s="102">
        <v>0</v>
      </c>
      <c r="H21" s="102">
        <v>0</v>
      </c>
      <c r="I21" s="102">
        <v>0</v>
      </c>
      <c r="J21" s="102">
        <v>0</v>
      </c>
      <c r="K21" s="15">
        <v>3000</v>
      </c>
    </row>
    <row r="22" spans="2:11" ht="30.6" customHeight="1" thickBot="1" x14ac:dyDescent="0.35">
      <c r="B22" s="103" t="s">
        <v>20</v>
      </c>
      <c r="C22" s="104" t="s">
        <v>14</v>
      </c>
      <c r="D22" s="105" t="s">
        <v>9</v>
      </c>
      <c r="E22" s="106">
        <v>165.4</v>
      </c>
      <c r="F22" s="107">
        <v>166.1</v>
      </c>
      <c r="G22" s="107">
        <v>165.4</v>
      </c>
      <c r="H22" s="107">
        <v>164.8</v>
      </c>
      <c r="I22" s="107">
        <v>164.4</v>
      </c>
      <c r="J22" s="107">
        <v>159.4</v>
      </c>
      <c r="K22" s="108">
        <v>161.1</v>
      </c>
    </row>
    <row r="23" spans="2:11" ht="25.95" customHeight="1" x14ac:dyDescent="0.3">
      <c r="B23" s="109" t="s">
        <v>18</v>
      </c>
      <c r="C23" s="110" t="s">
        <v>17</v>
      </c>
      <c r="D23" s="111" t="s">
        <v>6</v>
      </c>
      <c r="E23" s="112">
        <v>1.9</v>
      </c>
      <c r="F23" s="113">
        <v>0.83</v>
      </c>
      <c r="G23" s="113">
        <v>0.76</v>
      </c>
      <c r="H23" s="113">
        <v>0.66</v>
      </c>
      <c r="I23" s="113">
        <v>0.54</v>
      </c>
      <c r="J23" s="113">
        <v>0.38</v>
      </c>
      <c r="K23" s="114">
        <v>0.37</v>
      </c>
    </row>
    <row r="24" spans="2:11" ht="25.95" customHeight="1" x14ac:dyDescent="0.3">
      <c r="B24" s="109"/>
      <c r="C24" s="115" t="s">
        <v>41</v>
      </c>
      <c r="D24" s="116" t="s">
        <v>7</v>
      </c>
      <c r="E24" s="117">
        <v>17873</v>
      </c>
      <c r="F24" s="118">
        <v>7116</v>
      </c>
      <c r="G24" s="118">
        <v>6504</v>
      </c>
      <c r="H24" s="118">
        <v>5709</v>
      </c>
      <c r="I24" s="118">
        <v>4582</v>
      </c>
      <c r="J24" s="118">
        <v>2913</v>
      </c>
      <c r="K24" s="119">
        <v>2792</v>
      </c>
    </row>
    <row r="25" spans="2:11" ht="25.95" customHeight="1" thickBot="1" x14ac:dyDescent="0.35">
      <c r="B25" s="109"/>
      <c r="C25" s="120" t="s">
        <v>16</v>
      </c>
      <c r="D25" s="116" t="s">
        <v>7</v>
      </c>
      <c r="E25" s="117">
        <v>3660</v>
      </c>
      <c r="F25" s="118">
        <v>3403</v>
      </c>
      <c r="G25" s="118">
        <v>3382</v>
      </c>
      <c r="H25" s="118">
        <v>2232</v>
      </c>
      <c r="I25" s="118">
        <v>1306</v>
      </c>
      <c r="J25" s="118">
        <v>625</v>
      </c>
      <c r="K25" s="119">
        <v>158</v>
      </c>
    </row>
    <row r="26" spans="2:11" ht="25.95" customHeight="1" x14ac:dyDescent="0.3">
      <c r="B26" s="121"/>
      <c r="C26" s="122" t="s">
        <v>22</v>
      </c>
      <c r="D26" s="123" t="s">
        <v>7</v>
      </c>
      <c r="E26" s="124">
        <f>E25+E24</f>
        <v>21533</v>
      </c>
      <c r="F26" s="125">
        <f t="shared" ref="F26:K26" si="1">F25+F24</f>
        <v>10519</v>
      </c>
      <c r="G26" s="125">
        <f t="shared" si="1"/>
        <v>9886</v>
      </c>
      <c r="H26" s="125">
        <f t="shared" si="1"/>
        <v>7941</v>
      </c>
      <c r="I26" s="125">
        <f t="shared" si="1"/>
        <v>5888</v>
      </c>
      <c r="J26" s="125">
        <f t="shared" si="1"/>
        <v>3538</v>
      </c>
      <c r="K26" s="126">
        <f t="shared" si="1"/>
        <v>2950</v>
      </c>
    </row>
    <row r="27" spans="2:11" ht="25.95" customHeight="1" thickBot="1" x14ac:dyDescent="0.35">
      <c r="B27" s="127"/>
      <c r="C27" s="128"/>
      <c r="D27" s="129" t="s">
        <v>122</v>
      </c>
      <c r="E27" s="130">
        <f t="shared" ref="E27:K27" si="2">E26/E22</f>
        <v>130.18742442563482</v>
      </c>
      <c r="F27" s="131">
        <f t="shared" si="2"/>
        <v>63.329319686935584</v>
      </c>
      <c r="G27" s="131">
        <f t="shared" si="2"/>
        <v>59.770253929866989</v>
      </c>
      <c r="H27" s="131">
        <f t="shared" si="2"/>
        <v>48.185679611650485</v>
      </c>
      <c r="I27" s="131">
        <f t="shared" si="2"/>
        <v>35.81508515815085</v>
      </c>
      <c r="J27" s="131">
        <f t="shared" si="2"/>
        <v>22.195734002509411</v>
      </c>
      <c r="K27" s="132">
        <f t="shared" si="2"/>
        <v>18.311607697082557</v>
      </c>
    </row>
    <row r="28" spans="2:11" ht="25.95" customHeight="1" x14ac:dyDescent="0.3">
      <c r="B28" s="133" t="s">
        <v>19</v>
      </c>
      <c r="C28" s="134" t="s">
        <v>10</v>
      </c>
      <c r="D28" s="135" t="s">
        <v>8</v>
      </c>
      <c r="E28" s="136">
        <v>30042</v>
      </c>
      <c r="F28" s="137">
        <v>12429</v>
      </c>
      <c r="G28" s="137">
        <v>11250</v>
      </c>
      <c r="H28" s="137">
        <v>8315</v>
      </c>
      <c r="I28" s="137">
        <v>4217</v>
      </c>
      <c r="J28" s="137">
        <v>690</v>
      </c>
      <c r="K28" s="98">
        <v>637</v>
      </c>
    </row>
    <row r="29" spans="2:11" ht="25.95" customHeight="1" x14ac:dyDescent="0.3">
      <c r="B29" s="133"/>
      <c r="C29" s="138" t="s">
        <v>11</v>
      </c>
      <c r="D29" s="135" t="s">
        <v>8</v>
      </c>
      <c r="E29" s="136">
        <v>0</v>
      </c>
      <c r="F29" s="137">
        <v>0</v>
      </c>
      <c r="G29" s="137">
        <v>0</v>
      </c>
      <c r="H29" s="137">
        <v>0</v>
      </c>
      <c r="I29" s="137">
        <v>0</v>
      </c>
      <c r="J29" s="137">
        <v>0</v>
      </c>
      <c r="K29" s="98">
        <v>0</v>
      </c>
    </row>
    <row r="30" spans="2:11" ht="25.95" customHeight="1" x14ac:dyDescent="0.3">
      <c r="B30" s="133"/>
      <c r="C30" s="138" t="s">
        <v>12</v>
      </c>
      <c r="D30" s="135" t="s">
        <v>8</v>
      </c>
      <c r="E30" s="136">
        <v>446</v>
      </c>
      <c r="F30" s="137">
        <v>515</v>
      </c>
      <c r="G30" s="137">
        <v>512</v>
      </c>
      <c r="H30" s="137">
        <v>510</v>
      </c>
      <c r="I30" s="137">
        <v>516</v>
      </c>
      <c r="J30" s="137">
        <v>497</v>
      </c>
      <c r="K30" s="98">
        <v>524</v>
      </c>
    </row>
    <row r="31" spans="2:11" ht="25.95" customHeight="1" x14ac:dyDescent="0.3">
      <c r="B31" s="133"/>
      <c r="C31" s="138" t="s">
        <v>23</v>
      </c>
      <c r="D31" s="135" t="s">
        <v>8</v>
      </c>
      <c r="E31" s="136">
        <v>0</v>
      </c>
      <c r="F31" s="137">
        <v>552</v>
      </c>
      <c r="G31" s="137">
        <v>552</v>
      </c>
      <c r="H31" s="137">
        <v>552</v>
      </c>
      <c r="I31" s="137">
        <v>497</v>
      </c>
      <c r="J31" s="137">
        <v>986</v>
      </c>
      <c r="K31" s="98">
        <v>946</v>
      </c>
    </row>
    <row r="32" spans="2:11" ht="25.95" customHeight="1" x14ac:dyDescent="0.3">
      <c r="B32" s="133"/>
      <c r="C32" s="138" t="s">
        <v>13</v>
      </c>
      <c r="D32" s="135" t="s">
        <v>8</v>
      </c>
      <c r="E32" s="136">
        <v>1758</v>
      </c>
      <c r="F32" s="137">
        <v>1744</v>
      </c>
      <c r="G32" s="137">
        <v>1744</v>
      </c>
      <c r="H32" s="137">
        <v>1744</v>
      </c>
      <c r="I32" s="137">
        <v>1744</v>
      </c>
      <c r="J32" s="137">
        <v>1744</v>
      </c>
      <c r="K32" s="98">
        <v>1744</v>
      </c>
    </row>
    <row r="33" spans="2:11" ht="25.95" customHeight="1" x14ac:dyDescent="0.3">
      <c r="B33" s="133"/>
      <c r="C33" s="138" t="s">
        <v>37</v>
      </c>
      <c r="D33" s="135" t="s">
        <v>8</v>
      </c>
      <c r="E33" s="136">
        <v>0</v>
      </c>
      <c r="F33" s="137">
        <v>0</v>
      </c>
      <c r="G33" s="137">
        <v>0</v>
      </c>
      <c r="H33" s="137">
        <v>0</v>
      </c>
      <c r="I33" s="137">
        <v>0</v>
      </c>
      <c r="J33" s="137">
        <v>1133</v>
      </c>
      <c r="K33" s="98">
        <v>1132</v>
      </c>
    </row>
    <row r="34" spans="2:11" ht="25.95" customHeight="1" thickBot="1" x14ac:dyDescent="0.35">
      <c r="B34" s="133"/>
      <c r="C34" s="139" t="s">
        <v>38</v>
      </c>
      <c r="D34" s="140" t="s">
        <v>8</v>
      </c>
      <c r="E34" s="141">
        <v>0</v>
      </c>
      <c r="F34" s="142">
        <v>0</v>
      </c>
      <c r="G34" s="142">
        <v>0</v>
      </c>
      <c r="H34" s="142">
        <v>0</v>
      </c>
      <c r="I34" s="142">
        <v>0</v>
      </c>
      <c r="J34" s="142">
        <v>0</v>
      </c>
      <c r="K34" s="143">
        <v>3096</v>
      </c>
    </row>
    <row r="35" spans="2:11" ht="25.2" customHeight="1" thickBot="1" x14ac:dyDescent="0.35">
      <c r="B35" s="144"/>
      <c r="C35" s="145" t="s">
        <v>15</v>
      </c>
      <c r="D35" s="146" t="s">
        <v>123</v>
      </c>
      <c r="E35" s="147">
        <f t="shared" ref="E35:I35" si="3">(E28+E29+E30+E31+E32-E33-E34)/E22</f>
        <v>194.9576783555018</v>
      </c>
      <c r="F35" s="148">
        <f t="shared" si="3"/>
        <v>91.751956652618901</v>
      </c>
      <c r="G35" s="148">
        <f t="shared" si="3"/>
        <v>84.993954050785973</v>
      </c>
      <c r="H35" s="148">
        <f t="shared" si="3"/>
        <v>67.481796116504853</v>
      </c>
      <c r="I35" s="148">
        <f t="shared" si="3"/>
        <v>42.420924574209245</v>
      </c>
      <c r="J35" s="148">
        <f>(J28+J29+J30+J31+J32-J33-J34)/J22</f>
        <v>17.465495608531995</v>
      </c>
      <c r="K35" s="155">
        <f>(K28+K29+K30+K31+K32-K33-K34)/K22</f>
        <v>-2.3401613904407199</v>
      </c>
    </row>
    <row r="36" spans="2:11" ht="27" customHeight="1" thickBot="1" x14ac:dyDescent="0.35">
      <c r="B36" s="149" t="s">
        <v>54</v>
      </c>
      <c r="C36" s="150" t="s">
        <v>55</v>
      </c>
      <c r="D36" s="151" t="s">
        <v>56</v>
      </c>
      <c r="E36" s="152">
        <v>5</v>
      </c>
      <c r="F36" s="153">
        <v>14</v>
      </c>
      <c r="G36" s="153">
        <v>15</v>
      </c>
      <c r="H36" s="153">
        <v>19</v>
      </c>
      <c r="I36" s="153">
        <v>19</v>
      </c>
      <c r="J36" s="153">
        <v>38</v>
      </c>
      <c r="K36" s="154">
        <v>37</v>
      </c>
    </row>
  </sheetData>
  <pageMargins left="0.70866141732283472" right="0.70866141732283472" top="0.74803149606299213" bottom="0.74803149606299213" header="0.31496062992125984" footer="0.31496062992125984"/>
  <pageSetup paperSize="9" scale="5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B93358-593C-4597-93E7-0C83EAF525D0}">
  <dimension ref="B1:N51"/>
  <sheetViews>
    <sheetView showGridLines="0" zoomScale="85" zoomScaleNormal="85" workbookViewId="0">
      <selection activeCell="M6" sqref="M6"/>
    </sheetView>
  </sheetViews>
  <sheetFormatPr baseColWidth="10" defaultColWidth="11.5546875" defaultRowHeight="14.4" x14ac:dyDescent="0.3"/>
  <cols>
    <col min="1" max="1" width="2.109375" style="24" customWidth="1"/>
    <col min="2" max="2" width="15.6640625" style="24" customWidth="1"/>
    <col min="3" max="3" width="24.33203125" style="24" customWidth="1"/>
    <col min="4" max="4" width="53.88671875" style="24" customWidth="1"/>
    <col min="5" max="5" width="14.33203125" style="24" customWidth="1"/>
    <col min="6" max="6" width="14.5546875" style="24" customWidth="1"/>
    <col min="7" max="7" width="9.88671875" style="24" customWidth="1"/>
    <col min="8" max="8" width="15.44140625" style="24" customWidth="1"/>
    <col min="9" max="9" width="17.6640625" style="24" customWidth="1"/>
    <col min="10" max="10" width="15.5546875" style="24" customWidth="1"/>
    <col min="11" max="11" width="13.6640625" style="24" customWidth="1"/>
    <col min="12" max="13" width="11.5546875" style="24"/>
    <col min="14" max="14" width="12.44140625" style="24" bestFit="1" customWidth="1"/>
    <col min="15" max="16384" width="11.5546875" style="24"/>
  </cols>
  <sheetData>
    <row r="1" spans="2:12" ht="7.95" customHeight="1" thickBot="1" x14ac:dyDescent="0.35"/>
    <row r="2" spans="2:12" ht="22.2" customHeight="1" thickBot="1" x14ac:dyDescent="0.35">
      <c r="B2" s="64"/>
      <c r="C2" s="65"/>
      <c r="D2" s="66" t="s">
        <v>108</v>
      </c>
      <c r="E2" s="67"/>
      <c r="F2" s="67"/>
      <c r="G2" s="67"/>
      <c r="H2" s="67"/>
      <c r="I2" s="67"/>
      <c r="J2" s="68"/>
    </row>
    <row r="3" spans="2:12" ht="7.2" customHeight="1" thickBot="1" x14ac:dyDescent="0.35"/>
    <row r="4" spans="2:12" ht="14.4" customHeight="1" thickBot="1" x14ac:dyDescent="0.35">
      <c r="B4" s="202" t="s">
        <v>117</v>
      </c>
      <c r="C4" s="203"/>
      <c r="D4" s="76" t="s">
        <v>109</v>
      </c>
      <c r="E4" s="72">
        <v>30</v>
      </c>
      <c r="F4" s="69" t="s">
        <v>91</v>
      </c>
    </row>
    <row r="5" spans="2:12" x14ac:dyDescent="0.3">
      <c r="B5" s="204"/>
      <c r="C5" s="205"/>
      <c r="D5" s="77" t="s">
        <v>111</v>
      </c>
      <c r="E5" s="60">
        <v>0.06</v>
      </c>
      <c r="F5" s="160" t="s">
        <v>110</v>
      </c>
    </row>
    <row r="6" spans="2:12" x14ac:dyDescent="0.3">
      <c r="B6" s="204"/>
      <c r="C6" s="205"/>
      <c r="D6" s="78" t="s">
        <v>112</v>
      </c>
      <c r="E6" s="24">
        <v>3</v>
      </c>
      <c r="F6" s="162" t="s">
        <v>89</v>
      </c>
    </row>
    <row r="7" spans="2:12" ht="15" thickBot="1" x14ac:dyDescent="0.35">
      <c r="B7" s="204"/>
      <c r="C7" s="205"/>
      <c r="D7" s="79" t="s">
        <v>113</v>
      </c>
      <c r="E7" s="73">
        <f>(E5+E5*(1+E6/100)^($E$4-1))/2</f>
        <v>0.10069696518028133</v>
      </c>
      <c r="F7" s="164" t="s">
        <v>110</v>
      </c>
    </row>
    <row r="8" spans="2:12" x14ac:dyDescent="0.3">
      <c r="B8" s="204"/>
      <c r="C8" s="205"/>
      <c r="D8" s="77" t="s">
        <v>114</v>
      </c>
      <c r="E8" s="60">
        <v>0.14000000000000001</v>
      </c>
      <c r="F8" s="160" t="s">
        <v>110</v>
      </c>
    </row>
    <row r="9" spans="2:12" x14ac:dyDescent="0.3">
      <c r="B9" s="204"/>
      <c r="C9" s="205"/>
      <c r="D9" s="78" t="s">
        <v>116</v>
      </c>
      <c r="E9" s="24">
        <v>3</v>
      </c>
      <c r="F9" s="162" t="s">
        <v>89</v>
      </c>
    </row>
    <row r="10" spans="2:12" ht="15" thickBot="1" x14ac:dyDescent="0.35">
      <c r="B10" s="206"/>
      <c r="C10" s="207"/>
      <c r="D10" s="79" t="s">
        <v>115</v>
      </c>
      <c r="E10" s="73">
        <f>(E8+E8*(1+E9/100)^($E$4-1))/2</f>
        <v>0.23495958542065645</v>
      </c>
      <c r="F10" s="164" t="s">
        <v>110</v>
      </c>
    </row>
    <row r="11" spans="2:12" ht="10.95" customHeight="1" thickBot="1" x14ac:dyDescent="0.35"/>
    <row r="12" spans="2:12" ht="45" customHeight="1" thickBot="1" x14ac:dyDescent="0.35">
      <c r="B12" s="44" t="s">
        <v>97</v>
      </c>
      <c r="C12" s="45" t="s">
        <v>98</v>
      </c>
      <c r="D12" s="46" t="s">
        <v>131</v>
      </c>
      <c r="E12" s="208" t="s">
        <v>87</v>
      </c>
      <c r="F12" s="209"/>
      <c r="G12" s="210" t="s">
        <v>96</v>
      </c>
      <c r="H12" s="208"/>
      <c r="I12" s="49" t="s">
        <v>130</v>
      </c>
      <c r="J12" s="49" t="s">
        <v>133</v>
      </c>
      <c r="K12" s="47" t="s">
        <v>134</v>
      </c>
      <c r="L12" s="47" t="s">
        <v>132</v>
      </c>
    </row>
    <row r="13" spans="2:12" x14ac:dyDescent="0.3">
      <c r="B13" s="38" t="s">
        <v>63</v>
      </c>
      <c r="C13" s="39" t="s">
        <v>64</v>
      </c>
      <c r="D13" s="40" t="s">
        <v>72</v>
      </c>
      <c r="E13" s="41">
        <v>1</v>
      </c>
      <c r="F13" s="42" t="s">
        <v>88</v>
      </c>
      <c r="G13" s="41">
        <v>6000</v>
      </c>
      <c r="H13" s="166" t="s">
        <v>94</v>
      </c>
      <c r="I13" s="38">
        <f>E13*G13</f>
        <v>6000</v>
      </c>
      <c r="J13" s="38">
        <v>1500</v>
      </c>
      <c r="K13" s="43">
        <v>382</v>
      </c>
      <c r="L13" s="43">
        <f t="shared" ref="L13:L19" si="0">I13-J13-K13</f>
        <v>4118</v>
      </c>
    </row>
    <row r="14" spans="2:12" x14ac:dyDescent="0.3">
      <c r="B14" s="36" t="s">
        <v>65</v>
      </c>
      <c r="C14" s="28" t="s">
        <v>66</v>
      </c>
      <c r="D14" s="30" t="s">
        <v>81</v>
      </c>
      <c r="E14" s="25">
        <v>4</v>
      </c>
      <c r="F14" s="26" t="s">
        <v>95</v>
      </c>
      <c r="G14" s="25">
        <v>1500</v>
      </c>
      <c r="H14" s="27" t="s">
        <v>82</v>
      </c>
      <c r="I14" s="36">
        <f t="shared" ref="I14:I19" si="1">E14*G14</f>
        <v>6000</v>
      </c>
      <c r="J14" s="36">
        <v>2000</v>
      </c>
      <c r="K14" s="31">
        <v>294</v>
      </c>
      <c r="L14" s="43">
        <f t="shared" si="0"/>
        <v>3706</v>
      </c>
    </row>
    <row r="15" spans="2:12" x14ac:dyDescent="0.3">
      <c r="B15" s="36" t="s">
        <v>3</v>
      </c>
      <c r="C15" s="28" t="s">
        <v>67</v>
      </c>
      <c r="D15" s="30" t="s">
        <v>73</v>
      </c>
      <c r="E15" s="25">
        <v>1</v>
      </c>
      <c r="F15" s="26" t="s">
        <v>88</v>
      </c>
      <c r="G15" s="25">
        <v>4000</v>
      </c>
      <c r="H15" s="27" t="s">
        <v>94</v>
      </c>
      <c r="I15" s="36">
        <f t="shared" si="1"/>
        <v>4000</v>
      </c>
      <c r="J15" s="36">
        <v>2000</v>
      </c>
      <c r="K15" s="31">
        <v>229</v>
      </c>
      <c r="L15" s="43">
        <f t="shared" si="0"/>
        <v>1771</v>
      </c>
    </row>
    <row r="16" spans="2:12" x14ac:dyDescent="0.3">
      <c r="B16" s="36" t="s">
        <v>68</v>
      </c>
      <c r="C16" s="28" t="s">
        <v>69</v>
      </c>
      <c r="D16" s="30" t="s">
        <v>79</v>
      </c>
      <c r="E16" s="25">
        <v>148</v>
      </c>
      <c r="F16" s="26" t="s">
        <v>85</v>
      </c>
      <c r="G16" s="25">
        <v>150</v>
      </c>
      <c r="H16" s="27" t="s">
        <v>83</v>
      </c>
      <c r="I16" s="36">
        <f t="shared" si="1"/>
        <v>22200</v>
      </c>
      <c r="J16" s="36">
        <f>40*E16</f>
        <v>5920</v>
      </c>
      <c r="K16" s="31">
        <v>3611</v>
      </c>
      <c r="L16" s="43">
        <f t="shared" si="0"/>
        <v>12669</v>
      </c>
    </row>
    <row r="17" spans="2:14" x14ac:dyDescent="0.3">
      <c r="B17" s="36" t="s">
        <v>76</v>
      </c>
      <c r="C17" s="28" t="s">
        <v>77</v>
      </c>
      <c r="D17" s="30" t="s">
        <v>78</v>
      </c>
      <c r="E17" s="25">
        <v>62</v>
      </c>
      <c r="F17" s="26" t="s">
        <v>85</v>
      </c>
      <c r="G17" s="25">
        <v>40</v>
      </c>
      <c r="H17" s="27" t="s">
        <v>83</v>
      </c>
      <c r="I17" s="36">
        <f t="shared" si="1"/>
        <v>2480</v>
      </c>
      <c r="J17" s="36"/>
      <c r="K17" s="31">
        <v>1362</v>
      </c>
      <c r="L17" s="43">
        <f t="shared" si="0"/>
        <v>1118</v>
      </c>
    </row>
    <row r="18" spans="2:14" ht="14.4" customHeight="1" x14ac:dyDescent="0.3">
      <c r="B18" s="36" t="s">
        <v>24</v>
      </c>
      <c r="C18" s="28" t="s">
        <v>71</v>
      </c>
      <c r="D18" s="30" t="s">
        <v>74</v>
      </c>
      <c r="E18" s="25">
        <v>47</v>
      </c>
      <c r="F18" s="26" t="s">
        <v>84</v>
      </c>
      <c r="G18" s="25">
        <v>70</v>
      </c>
      <c r="H18" s="27" t="s">
        <v>86</v>
      </c>
      <c r="I18" s="36">
        <f t="shared" si="1"/>
        <v>3290</v>
      </c>
      <c r="J18" s="36">
        <v>0</v>
      </c>
      <c r="K18" s="31"/>
      <c r="L18" s="43">
        <f t="shared" si="0"/>
        <v>3290</v>
      </c>
    </row>
    <row r="19" spans="2:14" ht="15" thickBot="1" x14ac:dyDescent="0.35">
      <c r="B19" s="37" t="s">
        <v>70</v>
      </c>
      <c r="C19" s="29" t="s">
        <v>26</v>
      </c>
      <c r="D19" s="32" t="s">
        <v>75</v>
      </c>
      <c r="E19" s="33">
        <v>38</v>
      </c>
      <c r="F19" s="34" t="s">
        <v>85</v>
      </c>
      <c r="G19" s="33">
        <v>600</v>
      </c>
      <c r="H19" s="167" t="s">
        <v>83</v>
      </c>
      <c r="I19" s="37">
        <f t="shared" si="1"/>
        <v>22800</v>
      </c>
      <c r="J19" s="37">
        <f>40*12</f>
        <v>480</v>
      </c>
      <c r="K19" s="35">
        <v>615</v>
      </c>
      <c r="L19" s="43">
        <f t="shared" si="0"/>
        <v>21705</v>
      </c>
    </row>
    <row r="20" spans="2:14" ht="15" thickBot="1" x14ac:dyDescent="0.35">
      <c r="I20" s="49">
        <f>SUM(I13:I19)</f>
        <v>66770</v>
      </c>
      <c r="J20" s="49">
        <f>SUM(J13:J19)</f>
        <v>11900</v>
      </c>
      <c r="K20" s="47">
        <f>SUM(K13:K19)</f>
        <v>6493</v>
      </c>
      <c r="L20" s="47">
        <f>SUM(L13:L19)</f>
        <v>48377</v>
      </c>
    </row>
    <row r="22" spans="2:14" ht="15" thickBot="1" x14ac:dyDescent="0.35"/>
    <row r="23" spans="2:14" x14ac:dyDescent="0.3">
      <c r="D23" s="63" t="s">
        <v>135</v>
      </c>
      <c r="E23" s="55">
        <v>20</v>
      </c>
      <c r="F23" s="48" t="s">
        <v>91</v>
      </c>
    </row>
    <row r="24" spans="2:14" ht="15" thickBot="1" x14ac:dyDescent="0.35">
      <c r="D24" s="37" t="s">
        <v>92</v>
      </c>
      <c r="E24" s="168">
        <v>0.03</v>
      </c>
      <c r="F24" s="35" t="s">
        <v>89</v>
      </c>
    </row>
    <row r="25" spans="2:14" x14ac:dyDescent="0.3">
      <c r="D25" s="63" t="s">
        <v>136</v>
      </c>
      <c r="E25" s="169">
        <v>0.4</v>
      </c>
      <c r="F25" s="48" t="s">
        <v>89</v>
      </c>
    </row>
    <row r="26" spans="2:14" x14ac:dyDescent="0.3">
      <c r="D26" s="36" t="s">
        <v>137</v>
      </c>
      <c r="E26" s="170">
        <f>E25*F33</f>
        <v>83350.8</v>
      </c>
      <c r="F26" s="31" t="s">
        <v>93</v>
      </c>
    </row>
    <row r="27" spans="2:14" x14ac:dyDescent="0.3">
      <c r="D27" s="171" t="s">
        <v>99</v>
      </c>
      <c r="E27" s="172">
        <v>20</v>
      </c>
      <c r="F27" s="173" t="s">
        <v>91</v>
      </c>
    </row>
    <row r="28" spans="2:14" ht="15" thickBot="1" x14ac:dyDescent="0.35">
      <c r="D28" s="37" t="s">
        <v>138</v>
      </c>
      <c r="E28" s="174">
        <v>5</v>
      </c>
      <c r="F28" s="35" t="s">
        <v>91</v>
      </c>
    </row>
    <row r="29" spans="2:14" s="23" customFormat="1" ht="15" thickBot="1" x14ac:dyDescent="0.35">
      <c r="H29" s="175" t="s">
        <v>139</v>
      </c>
      <c r="I29" s="58"/>
      <c r="J29" s="59"/>
      <c r="L29" s="24"/>
      <c r="M29" s="24"/>
      <c r="N29" s="24"/>
    </row>
    <row r="30" spans="2:14" ht="29.4" thickBot="1" x14ac:dyDescent="0.35">
      <c r="C30" s="197" t="s">
        <v>101</v>
      </c>
      <c r="D30" s="211"/>
      <c r="E30" s="45" t="s">
        <v>62</v>
      </c>
      <c r="F30" s="49" t="s">
        <v>100</v>
      </c>
      <c r="H30" s="159"/>
      <c r="I30" s="60"/>
      <c r="J30" s="160"/>
    </row>
    <row r="31" spans="2:14" x14ac:dyDescent="0.3">
      <c r="C31" s="50"/>
      <c r="D31" s="52" t="s">
        <v>104</v>
      </c>
      <c r="E31" s="176">
        <v>160000</v>
      </c>
      <c r="F31" s="177">
        <f>E31</f>
        <v>160000</v>
      </c>
      <c r="H31" s="61"/>
      <c r="J31" s="162"/>
    </row>
    <row r="32" spans="2:14" x14ac:dyDescent="0.3">
      <c r="C32" s="165" t="s">
        <v>80</v>
      </c>
      <c r="D32" s="27" t="s">
        <v>132</v>
      </c>
      <c r="E32" s="28"/>
      <c r="F32" s="178">
        <f>L20</f>
        <v>48377</v>
      </c>
      <c r="H32" s="161"/>
      <c r="J32" s="162"/>
    </row>
    <row r="33" spans="3:10" ht="15" thickBot="1" x14ac:dyDescent="0.35">
      <c r="C33" s="51"/>
      <c r="D33" s="53" t="s">
        <v>90</v>
      </c>
      <c r="E33" s="29">
        <f>SUM(E31:E32)</f>
        <v>160000</v>
      </c>
      <c r="F33" s="179">
        <f>SUM(F31:F32)</f>
        <v>208377</v>
      </c>
      <c r="H33" s="161"/>
      <c r="J33" s="162"/>
    </row>
    <row r="34" spans="3:10" ht="14.4" customHeight="1" x14ac:dyDescent="0.3">
      <c r="C34" s="194" t="s">
        <v>140</v>
      </c>
      <c r="D34" s="52" t="s">
        <v>105</v>
      </c>
      <c r="E34" s="180">
        <f>E33*($E$24)/12/(1-(1+($E$24)/12)^(-$E$23*12))</f>
        <v>887.35615656627067</v>
      </c>
      <c r="F34" s="181">
        <f>(F33-$E$26)*($E$24)/12/(1-(1+($E$24)/12)^(-$E$23*12))</f>
        <v>693.39230188803663</v>
      </c>
      <c r="H34" s="161"/>
      <c r="J34" s="162"/>
    </row>
    <row r="35" spans="3:10" ht="14.4" customHeight="1" x14ac:dyDescent="0.3">
      <c r="C35" s="195"/>
      <c r="D35" s="54" t="s">
        <v>141</v>
      </c>
      <c r="E35" s="182"/>
      <c r="F35" s="183"/>
      <c r="H35" s="161"/>
      <c r="J35" s="162"/>
    </row>
    <row r="36" spans="3:10" ht="15" thickBot="1" x14ac:dyDescent="0.35">
      <c r="C36" s="196"/>
      <c r="D36" s="54" t="s">
        <v>142</v>
      </c>
      <c r="E36" s="184"/>
      <c r="F36" s="185">
        <f>E26/((E27-E28)*12)</f>
        <v>463.06</v>
      </c>
      <c r="H36" s="161"/>
      <c r="J36" s="162"/>
    </row>
    <row r="37" spans="3:10" ht="14.4" customHeight="1" x14ac:dyDescent="0.3">
      <c r="C37" s="212" t="s">
        <v>102</v>
      </c>
      <c r="D37" s="63" t="s">
        <v>118</v>
      </c>
      <c r="E37" s="190"/>
      <c r="F37" s="181">
        <f>(325/0.85)/12</f>
        <v>31.862745098039216</v>
      </c>
      <c r="H37" s="161"/>
      <c r="J37" s="162"/>
    </row>
    <row r="38" spans="3:10" ht="14.4" customHeight="1" x14ac:dyDescent="0.3">
      <c r="C38" s="213"/>
      <c r="D38" s="36" t="s">
        <v>119</v>
      </c>
      <c r="E38" s="191">
        <f>('[1]Partie 1'!E28+'[1]Partie 1'!E30+'[1]Partie 1'!E32)/12</f>
        <v>2545.75</v>
      </c>
      <c r="F38" s="187">
        <f>(986+612)/12</f>
        <v>133.16666666666666</v>
      </c>
      <c r="H38" s="161"/>
      <c r="J38" s="162"/>
    </row>
    <row r="39" spans="3:10" ht="15" thickBot="1" x14ac:dyDescent="0.35">
      <c r="C39" s="214"/>
      <c r="D39" s="75" t="s">
        <v>103</v>
      </c>
      <c r="E39" s="192">
        <f>E37*$E$7+E38*$E$10</f>
        <v>598.14836458463617</v>
      </c>
      <c r="F39" s="193">
        <f>F37*$E$7+F38*$E$10</f>
        <v>34.497266525536183</v>
      </c>
      <c r="H39" s="161"/>
      <c r="J39" s="162"/>
    </row>
    <row r="40" spans="3:10" ht="14.4" customHeight="1" thickBot="1" x14ac:dyDescent="0.35">
      <c r="C40" s="194" t="s">
        <v>143</v>
      </c>
      <c r="D40" s="74" t="s">
        <v>144</v>
      </c>
      <c r="E40" s="180">
        <f>E34+E35+E39</f>
        <v>1485.5045211509068</v>
      </c>
      <c r="F40" s="181">
        <f>F34+F35+F39</f>
        <v>727.88956841357276</v>
      </c>
      <c r="H40" s="163"/>
      <c r="I40" s="62"/>
      <c r="J40" s="164"/>
    </row>
    <row r="41" spans="3:10" ht="14.4" customHeight="1" x14ac:dyDescent="0.3">
      <c r="C41" s="195"/>
      <c r="D41" s="56" t="s">
        <v>145</v>
      </c>
      <c r="E41" s="186">
        <f>E34+E36+E39</f>
        <v>1485.5045211509068</v>
      </c>
      <c r="F41" s="187">
        <f>F34+F36+F39</f>
        <v>1190.9495684135727</v>
      </c>
    </row>
    <row r="42" spans="3:10" ht="15" thickBot="1" x14ac:dyDescent="0.35">
      <c r="C42" s="196"/>
      <c r="D42" s="57" t="s">
        <v>146</v>
      </c>
      <c r="E42" s="188">
        <f>E39</f>
        <v>598.14836458463617</v>
      </c>
      <c r="F42" s="189">
        <f>F39</f>
        <v>34.497266525536183</v>
      </c>
    </row>
    <row r="43" spans="3:10" ht="15" thickBot="1" x14ac:dyDescent="0.35">
      <c r="C43" s="197" t="s">
        <v>106</v>
      </c>
      <c r="D43" s="198"/>
      <c r="E43" s="70">
        <f>E40*12*5+E41*12*15+E42*12*10</f>
        <v>428298.88882637396</v>
      </c>
      <c r="F43" s="71">
        <f>F40*12*5+F41*12*15+F42*12*10</f>
        <v>262183.9684023218</v>
      </c>
    </row>
    <row r="44" spans="3:10" ht="15" thickBot="1" x14ac:dyDescent="0.35">
      <c r="C44" s="197" t="s">
        <v>107</v>
      </c>
      <c r="D44" s="199"/>
      <c r="E44" s="200">
        <f>E43-F43</f>
        <v>166114.92042405216</v>
      </c>
      <c r="F44" s="201"/>
    </row>
    <row r="47" spans="3:10" ht="20.25" customHeight="1" x14ac:dyDescent="0.3"/>
    <row r="49" ht="29.4" customHeight="1" x14ac:dyDescent="0.3"/>
    <row r="50" ht="14.4" customHeight="1" x14ac:dyDescent="0.3"/>
    <row r="51" ht="14.4" customHeight="1" x14ac:dyDescent="0.3"/>
  </sheetData>
  <mergeCells count="10">
    <mergeCell ref="G12:H12"/>
    <mergeCell ref="C30:D30"/>
    <mergeCell ref="C34:C36"/>
    <mergeCell ref="C37:C39"/>
    <mergeCell ref="C40:C42"/>
    <mergeCell ref="C43:D43"/>
    <mergeCell ref="C44:D44"/>
    <mergeCell ref="E44:F44"/>
    <mergeCell ref="B4:C10"/>
    <mergeCell ref="E12:F12"/>
  </mergeCell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Scroll Bar 1">
              <controlPr defaultSize="0" autoPict="0">
                <anchor moveWithCells="1">
                  <from>
                    <xdr:col>6</xdr:col>
                    <xdr:colOff>22860</xdr:colOff>
                    <xdr:row>5</xdr:row>
                    <xdr:rowOff>0</xdr:rowOff>
                  </from>
                  <to>
                    <xdr:col>7</xdr:col>
                    <xdr:colOff>457200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Scroll Bar 2">
              <controlPr defaultSize="0" autoPict="0">
                <anchor moveWithCells="1">
                  <from>
                    <xdr:col>6</xdr:col>
                    <xdr:colOff>22860</xdr:colOff>
                    <xdr:row>8</xdr:row>
                    <xdr:rowOff>0</xdr:rowOff>
                  </from>
                  <to>
                    <xdr:col>7</xdr:col>
                    <xdr:colOff>457200</xdr:colOff>
                    <xdr:row>9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Partie 1</vt:lpstr>
      <vt:lpstr>Partie 3</vt:lpstr>
      <vt:lpstr>'Partie 1'!Zone_d_impression</vt:lpstr>
    </vt:vector>
  </TitlesOfParts>
  <Company>Lycée Jean Moulin ANGERS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Stéphane SIMONEAU</dc:creator>
  <cp:lastModifiedBy>Simoneau</cp:lastModifiedBy>
  <cp:lastPrinted>2021-05-19T10:04:54Z</cp:lastPrinted>
  <dcterms:created xsi:type="dcterms:W3CDTF">2015-11-25T20:57:40Z</dcterms:created>
  <dcterms:modified xsi:type="dcterms:W3CDTF">2021-05-19T10:11:49Z</dcterms:modified>
</cp:coreProperties>
</file>