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REVIT Module formation\Dessin panoplie chauffage dim réseau - séq pédagog\"/>
    </mc:Choice>
  </mc:AlternateContent>
  <xr:revisionPtr revIDLastSave="0" documentId="13_ncr:1_{2EA732B3-42DD-47D6-97BE-FBDA3EF0286B}" xr6:coauthVersionLast="45" xr6:coauthVersionMax="45" xr10:uidLastSave="{00000000-0000-0000-0000-000000000000}"/>
  <bookViews>
    <workbookView xWindow="-120" yWindow="-120" windowWidth="29040" windowHeight="16440" xr2:uid="{70AD0853-817D-4119-B5D6-4913FD43CE85}"/>
  </bookViews>
  <sheets>
    <sheet name="Dimensionnement corrigé" sheetId="1" r:id="rId1"/>
    <sheet name="Dimensionnement vierge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11" i="1" l="1"/>
  <c r="AP9" i="1" l="1"/>
  <c r="AP10" i="1"/>
  <c r="AU9" i="1"/>
  <c r="AV9" i="1" s="1"/>
  <c r="AU10" i="1"/>
  <c r="AV10" i="1"/>
  <c r="AU11" i="1"/>
  <c r="AV11" i="1" s="1"/>
  <c r="AE11" i="1" l="1"/>
  <c r="AP11" i="1" s="1"/>
  <c r="AD10" i="1"/>
  <c r="AE10" i="1" s="1"/>
  <c r="AD9" i="1"/>
  <c r="AE9" i="1" s="1"/>
  <c r="A15" i="5"/>
  <c r="A16" i="5" s="1"/>
  <c r="A17" i="5" s="1"/>
  <c r="A14" i="5"/>
  <c r="P12" i="5"/>
  <c r="P14" i="5" s="1"/>
  <c r="P15" i="5" s="1"/>
  <c r="P16" i="5" s="1"/>
  <c r="P17" i="5" s="1"/>
  <c r="A12" i="5"/>
  <c r="AA6" i="5"/>
  <c r="Z6" i="5"/>
  <c r="P12" i="1"/>
  <c r="P14" i="1" s="1"/>
  <c r="P15" i="1" s="1"/>
  <c r="P16" i="1" s="1"/>
  <c r="P17" i="1" s="1"/>
  <c r="AA6" i="1"/>
  <c r="Z6" i="1"/>
  <c r="AF11" i="1" l="1"/>
  <c r="AH11" i="1" s="1"/>
  <c r="AF9" i="1"/>
  <c r="AH9" i="1" s="1"/>
  <c r="AF10" i="1"/>
  <c r="AH10" i="1" s="1"/>
  <c r="AI9" i="1" l="1"/>
  <c r="AH15" i="1"/>
  <c r="AH14" i="1"/>
  <c r="D9" i="1"/>
  <c r="D17" i="1"/>
  <c r="D16" i="1"/>
  <c r="D15" i="1"/>
  <c r="D14" i="1"/>
  <c r="D10" i="1"/>
  <c r="D11" i="1"/>
  <c r="D12" i="1"/>
  <c r="A12" i="1"/>
  <c r="A14" i="1" s="1"/>
  <c r="A15" i="1" s="1"/>
  <c r="A16" i="1" s="1"/>
  <c r="A17" i="1" s="1"/>
  <c r="AH18" i="1" l="1"/>
  <c r="AI14" i="1"/>
  <c r="Q9" i="1"/>
  <c r="F16" i="1"/>
  <c r="L16" i="1" s="1"/>
  <c r="M16" i="1" s="1"/>
  <c r="R16" i="1" s="1"/>
  <c r="Q16" i="1"/>
  <c r="F12" i="1"/>
  <c r="L12" i="1" s="1"/>
  <c r="M12" i="1" s="1"/>
  <c r="R12" i="1" s="1"/>
  <c r="Q12" i="1"/>
  <c r="F11" i="1"/>
  <c r="L11" i="1" s="1"/>
  <c r="M11" i="1" s="1"/>
  <c r="R11" i="1" s="1"/>
  <c r="Q11" i="1"/>
  <c r="F10" i="1"/>
  <c r="L10" i="1" s="1"/>
  <c r="M10" i="1" s="1"/>
  <c r="R10" i="1" s="1"/>
  <c r="Q10" i="1"/>
  <c r="Q14" i="1"/>
  <c r="F15" i="1"/>
  <c r="L15" i="1" s="1"/>
  <c r="M15" i="1" s="1"/>
  <c r="R15" i="1" s="1"/>
  <c r="Q15" i="1"/>
  <c r="F17" i="1"/>
  <c r="L17" i="1" s="1"/>
  <c r="M17" i="1" s="1"/>
  <c r="R17" i="1" s="1"/>
  <c r="Q17" i="1"/>
  <c r="F9" i="1"/>
  <c r="L9" i="1" s="1"/>
  <c r="M9" i="1" s="1"/>
  <c r="N9" i="1" s="1"/>
  <c r="S9" i="1" s="1"/>
  <c r="Z9" i="1"/>
  <c r="Z10" i="1" s="1"/>
  <c r="F14" i="1"/>
  <c r="L14" i="1" s="1"/>
  <c r="M14" i="1" s="1"/>
  <c r="N14" i="1" s="1"/>
  <c r="S14" i="1" s="1"/>
  <c r="Z11" i="1"/>
  <c r="AH17" i="1" s="1"/>
  <c r="N12" i="1" l="1"/>
  <c r="S12" i="1" s="1"/>
  <c r="N10" i="1"/>
  <c r="S10" i="1" s="1"/>
  <c r="N17" i="1"/>
  <c r="S17" i="1" s="1"/>
  <c r="N16" i="1"/>
  <c r="S16" i="1" s="1"/>
  <c r="N15" i="1"/>
  <c r="S15" i="1" s="1"/>
  <c r="N11" i="1"/>
  <c r="S11" i="1" s="1"/>
  <c r="AA11" i="1"/>
  <c r="AB11" i="1" s="1"/>
  <c r="R14" i="1"/>
  <c r="AA9" i="1"/>
  <c r="AB9" i="1" s="1"/>
  <c r="R9" i="1"/>
  <c r="AA10" i="1" l="1"/>
  <c r="AB10" i="1" s="1"/>
</calcChain>
</file>

<file path=xl/sharedStrings.xml><?xml version="1.0" encoding="utf-8"?>
<sst xmlns="http://schemas.openxmlformats.org/spreadsheetml/2006/main" count="313" uniqueCount="96">
  <si>
    <t>Cas</t>
  </si>
  <si>
    <t>P</t>
  </si>
  <si>
    <t>W</t>
  </si>
  <si>
    <t>Puissance</t>
  </si>
  <si>
    <t>masse volumique</t>
  </si>
  <si>
    <t>kg/m3</t>
  </si>
  <si>
    <t>débit volumique</t>
  </si>
  <si>
    <t>qv</t>
  </si>
  <si>
    <t>r</t>
  </si>
  <si>
    <t>C</t>
  </si>
  <si>
    <t>Capacité calorifique massique</t>
  </si>
  <si>
    <t>Te</t>
  </si>
  <si>
    <t>Ts</t>
  </si>
  <si>
    <t>Température entrée eau</t>
  </si>
  <si>
    <t>Température sortie eau</t>
  </si>
  <si>
    <t>°C</t>
  </si>
  <si>
    <t>vitesse</t>
  </si>
  <si>
    <t>w</t>
  </si>
  <si>
    <t>m/s</t>
  </si>
  <si>
    <t>l/h</t>
  </si>
  <si>
    <t>mm</t>
  </si>
  <si>
    <t>données</t>
  </si>
  <si>
    <t>J/(kg.°C)</t>
  </si>
  <si>
    <t>résultats calculés</t>
  </si>
  <si>
    <r>
      <t>P=</t>
    </r>
    <r>
      <rPr>
        <sz val="11"/>
        <color theme="1"/>
        <rFont val="GreekC_IV25"/>
      </rPr>
      <t>r.</t>
    </r>
    <r>
      <rPr>
        <sz val="11"/>
        <color theme="1"/>
        <rFont val="Calibri"/>
        <family val="2"/>
        <scheme val="minor"/>
      </rPr>
      <t>qv.C.</t>
    </r>
    <r>
      <rPr>
        <sz val="11"/>
        <color theme="1"/>
        <rFont val="GreekC_IV25"/>
      </rPr>
      <t>D</t>
    </r>
    <r>
      <rPr>
        <sz val="11"/>
        <color theme="1"/>
        <rFont val="Calibri"/>
        <family val="2"/>
      </rPr>
      <t xml:space="preserve">T </t>
    </r>
    <r>
      <rPr>
        <sz val="11"/>
        <color theme="1"/>
        <rFont val="Symbol"/>
        <family val="1"/>
        <charset val="2"/>
      </rPr>
      <t>Û</t>
    </r>
    <r>
      <rPr>
        <sz val="11"/>
        <color theme="1"/>
        <rFont val="Calibri"/>
        <family val="2"/>
      </rPr>
      <t xml:space="preserve"> qv=P/(</t>
    </r>
    <r>
      <rPr>
        <sz val="11"/>
        <color theme="1"/>
        <rFont val="GreekC_IV25"/>
      </rPr>
      <t>r</t>
    </r>
    <r>
      <rPr>
        <sz val="11"/>
        <color theme="1"/>
        <rFont val="Calibri"/>
        <family val="2"/>
      </rPr>
      <t>.C.</t>
    </r>
    <r>
      <rPr>
        <sz val="11"/>
        <color theme="1"/>
        <rFont val="GreekC_IV25"/>
      </rPr>
      <t>D</t>
    </r>
    <r>
      <rPr>
        <sz val="11"/>
        <color theme="1"/>
        <rFont val="Calibri"/>
        <family val="2"/>
      </rPr>
      <t xml:space="preserve">T) </t>
    </r>
    <r>
      <rPr>
        <sz val="11"/>
        <color theme="1"/>
        <rFont val="Symbol"/>
        <family val="1"/>
        <charset val="2"/>
      </rPr>
      <t>Û</t>
    </r>
    <r>
      <rPr>
        <sz val="11"/>
        <color theme="1"/>
        <rFont val="Calibri"/>
        <family val="2"/>
      </rPr>
      <t xml:space="preserve"> qv(l/h)=P/(</t>
    </r>
    <r>
      <rPr>
        <sz val="11"/>
        <color theme="1"/>
        <rFont val="GreekC_IV25"/>
      </rPr>
      <t>r</t>
    </r>
    <r>
      <rPr>
        <sz val="11"/>
        <color theme="1"/>
        <rFont val="Calibri"/>
        <family val="2"/>
      </rPr>
      <t>.C.</t>
    </r>
    <r>
      <rPr>
        <sz val="11"/>
        <color theme="1"/>
        <rFont val="GreekC_IV25"/>
      </rPr>
      <t>D</t>
    </r>
    <r>
      <rPr>
        <sz val="11"/>
        <color theme="1"/>
        <rFont val="Calibri"/>
        <family val="2"/>
      </rPr>
      <t>T)x1000x3600</t>
    </r>
    <r>
      <rPr>
        <sz val="11"/>
        <color theme="1"/>
        <rFont val="Calibri"/>
        <family val="2"/>
        <scheme val="minor"/>
      </rPr>
      <t xml:space="preserve">
qv=w.S=w.</t>
    </r>
    <r>
      <rPr>
        <sz val="11"/>
        <color theme="1"/>
        <rFont val="GreekC_IV25"/>
      </rPr>
      <t>p</t>
    </r>
    <r>
      <rPr>
        <sz val="11"/>
        <color theme="1"/>
        <rFont val="Calibri"/>
        <family val="2"/>
      </rPr>
      <t xml:space="preserve">.D²/4 </t>
    </r>
    <r>
      <rPr>
        <sz val="11"/>
        <color theme="1"/>
        <rFont val="Symbol"/>
        <family val="1"/>
        <charset val="2"/>
      </rPr>
      <t>Û</t>
    </r>
    <r>
      <rPr>
        <sz val="11"/>
        <color theme="1"/>
        <rFont val="Calibri"/>
        <family val="2"/>
      </rPr>
      <t xml:space="preserve"> D=</t>
    </r>
    <r>
      <rPr>
        <sz val="11"/>
        <color theme="1"/>
        <rFont val="Symbol"/>
        <family val="1"/>
        <charset val="2"/>
      </rPr>
      <t>Ö</t>
    </r>
    <r>
      <rPr>
        <sz val="11"/>
        <color theme="1"/>
        <rFont val="Calibri"/>
        <family val="2"/>
      </rPr>
      <t>(4.qv/(w.</t>
    </r>
    <r>
      <rPr>
        <sz val="11"/>
        <color theme="1"/>
        <rFont val="GreekC_IV25"/>
      </rPr>
      <t>p</t>
    </r>
    <r>
      <rPr>
        <sz val="11"/>
        <color theme="1"/>
        <rFont val="Calibri"/>
        <family val="2"/>
      </rPr>
      <t>))</t>
    </r>
  </si>
  <si>
    <t>D9 =B9/(C9*G9*(H9-I9))*1000*3600</t>
  </si>
  <si>
    <t>F9==((4*D9/1000/3600)/(E9*PI()))^0,5*1000</t>
  </si>
  <si>
    <t>Formule tableur saisie
(avec les cellules du tableur)</t>
  </si>
  <si>
    <t>formule littérale
(avec terme isolé et les conversions d'unités)</t>
  </si>
  <si>
    <t>diam ext dispo 
Cuivre</t>
  </si>
  <si>
    <t>diamètre intérieur brut</t>
  </si>
  <si>
    <t>10/12</t>
  </si>
  <si>
    <t>12/14</t>
  </si>
  <si>
    <t>14/16</t>
  </si>
  <si>
    <t>16/18</t>
  </si>
  <si>
    <t>20/22</t>
  </si>
  <si>
    <t>26/28</t>
  </si>
  <si>
    <t>8/10</t>
  </si>
  <si>
    <t>30/32</t>
  </si>
  <si>
    <t>fonction INDEX</t>
  </si>
  <si>
    <t>Di</t>
  </si>
  <si>
    <t>De</t>
  </si>
  <si>
    <t>diamètre extérieur retenu dans la gamme de diamètres commercialisés</t>
  </si>
  <si>
    <t>1 "ref"</t>
  </si>
  <si>
    <t>diamètre extérieur brut (De=Di+2mm)</t>
  </si>
  <si>
    <t>paramètre modifié par rapport au cas 1 de référence</t>
  </si>
  <si>
    <t>j</t>
  </si>
  <si>
    <t>perte de charge linéique (abaque)</t>
  </si>
  <si>
    <t>mmCE/m</t>
  </si>
  <si>
    <t>l</t>
  </si>
  <si>
    <t>m</t>
  </si>
  <si>
    <t>perte de charge linéaire</t>
  </si>
  <si>
    <r>
      <rPr>
        <b/>
        <sz val="11"/>
        <color theme="1"/>
        <rFont val="GreekC_IV25"/>
      </rPr>
      <t>D</t>
    </r>
    <r>
      <rPr>
        <b/>
        <sz val="11"/>
        <color theme="1"/>
        <rFont val="Calibri"/>
        <family val="2"/>
      </rPr>
      <t>p</t>
    </r>
    <r>
      <rPr>
        <b/>
        <vertAlign val="subscript"/>
        <sz val="11"/>
        <color theme="1"/>
        <rFont val="Calibri"/>
        <family val="2"/>
      </rPr>
      <t>lin</t>
    </r>
    <r>
      <rPr>
        <b/>
        <sz val="11"/>
        <color theme="1"/>
        <rFont val="Calibri"/>
        <family val="2"/>
      </rPr>
      <t>=</t>
    </r>
    <r>
      <rPr>
        <b/>
        <sz val="11"/>
        <color theme="1"/>
        <rFont val="Calibri"/>
        <family val="2"/>
        <scheme val="minor"/>
      </rPr>
      <t>j.L</t>
    </r>
  </si>
  <si>
    <t>perte de charge singulière</t>
  </si>
  <si>
    <r>
      <rPr>
        <b/>
        <sz val="11"/>
        <color theme="1"/>
        <rFont val="GreekC_IV25"/>
      </rPr>
      <t>D</t>
    </r>
    <r>
      <rPr>
        <b/>
        <sz val="11"/>
        <color theme="1"/>
        <rFont val="Calibri"/>
        <family val="2"/>
      </rPr>
      <t>p</t>
    </r>
    <r>
      <rPr>
        <b/>
        <vertAlign val="subscript"/>
        <sz val="11"/>
        <color theme="1"/>
        <rFont val="Calibri"/>
        <family val="2"/>
      </rPr>
      <t>Sg</t>
    </r>
    <r>
      <rPr>
        <b/>
        <sz val="11"/>
        <color theme="1"/>
        <rFont val="Calibri"/>
        <family val="2"/>
      </rPr>
      <t xml:space="preserve"> = 0,15 j.l = 0,15</t>
    </r>
    <r>
      <rPr>
        <b/>
        <sz val="11"/>
        <color theme="1"/>
        <rFont val="GreekC_IV25"/>
      </rPr>
      <t>D</t>
    </r>
    <r>
      <rPr>
        <b/>
        <sz val="11"/>
        <color theme="1"/>
        <rFont val="Calibri"/>
        <family val="2"/>
      </rPr>
      <t>p</t>
    </r>
    <r>
      <rPr>
        <b/>
        <vertAlign val="subscript"/>
        <sz val="11"/>
        <color theme="1"/>
        <rFont val="Calibri"/>
        <family val="2"/>
      </rPr>
      <t>lin</t>
    </r>
  </si>
  <si>
    <t>perte de charge organes</t>
  </si>
  <si>
    <r>
      <rPr>
        <b/>
        <sz val="11"/>
        <color theme="1"/>
        <rFont val="GreekC_IV25"/>
      </rPr>
      <t>D</t>
    </r>
    <r>
      <rPr>
        <b/>
        <sz val="11"/>
        <color theme="1"/>
        <rFont val="Calibri"/>
        <family val="2"/>
      </rPr>
      <t>p</t>
    </r>
    <r>
      <rPr>
        <b/>
        <vertAlign val="subscript"/>
        <sz val="11"/>
        <color theme="1"/>
        <rFont val="Calibri"/>
        <family val="2"/>
      </rPr>
      <t>org</t>
    </r>
  </si>
  <si>
    <t>perte de charge totale</t>
  </si>
  <si>
    <t>mm CE</t>
  </si>
  <si>
    <r>
      <rPr>
        <b/>
        <sz val="11"/>
        <color theme="1"/>
        <rFont val="GreekC_IV25"/>
      </rPr>
      <t>D</t>
    </r>
    <r>
      <rPr>
        <b/>
        <sz val="11"/>
        <color theme="1"/>
        <rFont val="Calibri"/>
        <family val="2"/>
      </rPr>
      <t>p</t>
    </r>
    <r>
      <rPr>
        <b/>
        <vertAlign val="subscript"/>
        <sz val="11"/>
        <color theme="1"/>
        <rFont val="Calibri"/>
        <family val="2"/>
      </rPr>
      <t>tot</t>
    </r>
  </si>
  <si>
    <t>perte de charge à créer</t>
  </si>
  <si>
    <t>perte de charge de l'organe de réglage</t>
  </si>
  <si>
    <t>Nb de tours de l'organe de réglage</t>
  </si>
  <si>
    <t>tr</t>
  </si>
  <si>
    <t>vitesse réelle (en tenant compte du diamètre réel commercialisé)</t>
  </si>
  <si>
    <t>BChA</t>
  </si>
  <si>
    <r>
      <t>AR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B</t>
    </r>
  </si>
  <si>
    <r>
      <t>AR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B</t>
    </r>
  </si>
  <si>
    <r>
      <t>ChR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Ch</t>
    </r>
  </si>
  <si>
    <r>
      <t>ChR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Ch</t>
    </r>
  </si>
  <si>
    <r>
      <t>AR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B + BChA</t>
    </r>
  </si>
  <si>
    <r>
      <t>AR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B + BChA</t>
    </r>
  </si>
  <si>
    <t>abaque</t>
  </si>
  <si>
    <t>longueur de canalisation (plan)</t>
  </si>
  <si>
    <t>plan</t>
  </si>
  <si>
    <t>Tronçon</t>
  </si>
  <si>
    <t>Circuit</t>
  </si>
  <si>
    <t>DIMENSIONNEMENT RESEAUX ET CIRCULATEUR</t>
  </si>
  <si>
    <t>Hm</t>
  </si>
  <si>
    <t>Pompe</t>
  </si>
  <si>
    <t>m3/h</t>
  </si>
  <si>
    <t>DIMENSIONNEMENT EMETTEURS ET RESEAUX</t>
  </si>
  <si>
    <t>Méthode 2 : TABLEUR</t>
  </si>
  <si>
    <t>Méthode 3 : CAO Revit</t>
  </si>
  <si>
    <t>DIMENSIONNEMENT EMETTEURS ET RESEAUX
COMPARATIF METHODES : TABLEUR / CAO REVIT</t>
  </si>
  <si>
    <t>Méthode 1 : ABAQUE</t>
  </si>
  <si>
    <t>53 / 57</t>
  </si>
  <si>
    <t>33 / 35</t>
  </si>
  <si>
    <t>n°1</t>
  </si>
  <si>
    <t>n°4</t>
  </si>
  <si>
    <t>n°2</t>
  </si>
  <si>
    <t>perte de charge totale
Aller</t>
  </si>
  <si>
    <t>perte de charge totale
Retour</t>
  </si>
  <si>
    <t>DIMENSIONNEMENT RESEAUX ET CIRCULATEUR
COMPARATIF METHODES :  ABAQUE / CAO REVIT
Pertes de charge linéaires</t>
  </si>
  <si>
    <t>perte de charge linéique</t>
  </si>
  <si>
    <t>mCE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</si>
</sst>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GreekC_IV25"/>
    </font>
    <font>
      <sz val="11"/>
      <color theme="1"/>
      <name val="Calibri"/>
      <family val="2"/>
    </font>
    <font>
      <sz val="11"/>
      <color theme="1"/>
      <name val="Symbol"/>
      <family val="1"/>
      <charset val="2"/>
    </font>
    <font>
      <b/>
      <sz val="11"/>
      <color theme="1"/>
      <name val="GreekC_IV25"/>
    </font>
    <font>
      <b/>
      <sz val="22"/>
      <color theme="5" tint="-0.499984740745262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4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theme="5" tint="-0.499984740745262"/>
      </left>
      <right/>
      <top style="thick">
        <color theme="5" tint="-0.499984740745262"/>
      </top>
      <bottom style="thick">
        <color theme="5" tint="-0.499984740745262"/>
      </bottom>
      <diagonal/>
    </border>
    <border>
      <left/>
      <right/>
      <top style="thick">
        <color theme="5" tint="-0.499984740745262"/>
      </top>
      <bottom style="thick">
        <color theme="5" tint="-0.499984740745262"/>
      </bottom>
      <diagonal/>
    </border>
    <border>
      <left/>
      <right style="thick">
        <color theme="5" tint="-0.499984740745262"/>
      </right>
      <top style="thick">
        <color theme="5" tint="-0.499984740745262"/>
      </top>
      <bottom style="thick">
        <color theme="5" tint="-0.499984740745262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theme="5" tint="-0.499984740745262"/>
      </left>
      <right/>
      <top/>
      <bottom/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0" fillId="3" borderId="5" xfId="0" applyNumberForma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3" fontId="1" fillId="4" borderId="5" xfId="0" applyNumberFormat="1" applyFont="1" applyFill="1" applyBorder="1" applyAlignment="1">
      <alignment horizontal="center" vertical="center"/>
    </xf>
    <xf numFmtId="3" fontId="0" fillId="4" borderId="5" xfId="0" applyNumberForma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3" fontId="0" fillId="4" borderId="6" xfId="0" applyNumberFormat="1" applyFill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3" xfId="0" applyFill="1" applyBorder="1" applyAlignment="1">
      <alignment horizontal="left" vertical="center" wrapText="1"/>
    </xf>
    <xf numFmtId="0" fontId="1" fillId="5" borderId="14" xfId="0" applyFont="1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4" borderId="14" xfId="0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0" fillId="3" borderId="2" xfId="0" applyNumberForma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4" borderId="4" xfId="0" applyNumberFormat="1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5" borderId="18" xfId="0" applyFill="1" applyBorder="1" applyAlignment="1">
      <alignment horizontal="left" vertical="center" wrapText="1"/>
    </xf>
    <xf numFmtId="0" fontId="1" fillId="5" borderId="19" xfId="0" applyFont="1" applyFill="1" applyBorder="1" applyAlignment="1">
      <alignment horizontal="left" vertical="center"/>
    </xf>
    <xf numFmtId="0" fontId="0" fillId="5" borderId="20" xfId="0" applyFill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4" borderId="19" xfId="0" applyFill="1" applyBorder="1" applyAlignment="1">
      <alignment horizontal="left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3" fontId="0" fillId="3" borderId="3" xfId="0" applyNumberFormat="1" applyFill="1" applyBorder="1" applyAlignment="1">
      <alignment horizontal="center" vertical="center"/>
    </xf>
    <xf numFmtId="3" fontId="0" fillId="3" borderId="6" xfId="0" applyNumberFormat="1" applyFill="1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1" fillId="0" borderId="0" xfId="0" applyFont="1" applyAlignment="1">
      <alignment horizontal="center" vertical="center" textRotation="90"/>
    </xf>
    <xf numFmtId="0" fontId="1" fillId="0" borderId="0" xfId="0" applyFont="1" applyFill="1" applyAlignment="1">
      <alignment horizontal="center" vertical="center" textRotation="90"/>
    </xf>
    <xf numFmtId="0" fontId="0" fillId="9" borderId="5" xfId="0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1" fontId="0" fillId="3" borderId="8" xfId="0" applyNumberForma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9" borderId="27" xfId="0" applyFill="1" applyBorder="1" applyAlignment="1">
      <alignment horizontal="center" vertical="center"/>
    </xf>
    <xf numFmtId="1" fontId="0" fillId="3" borderId="27" xfId="0" applyNumberFormat="1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1" fontId="0" fillId="3" borderId="17" xfId="0" applyNumberFormat="1" applyFill="1" applyBorder="1" applyAlignment="1">
      <alignment horizontal="center" vertical="center"/>
    </xf>
    <xf numFmtId="1" fontId="0" fillId="3" borderId="14" xfId="0" applyNumberFormat="1" applyFill="1" applyBorder="1" applyAlignment="1">
      <alignment horizontal="center" vertical="center"/>
    </xf>
    <xf numFmtId="1" fontId="0" fillId="3" borderId="15" xfId="0" applyNumberFormat="1" applyFill="1" applyBorder="1" applyAlignment="1">
      <alignment horizontal="center" vertical="center"/>
    </xf>
    <xf numFmtId="1" fontId="0" fillId="3" borderId="29" xfId="0" applyNumberFormat="1" applyFill="1" applyBorder="1" applyAlignment="1">
      <alignment horizontal="center" vertical="center"/>
    </xf>
    <xf numFmtId="1" fontId="0" fillId="3" borderId="30" xfId="0" applyNumberFormat="1" applyFill="1" applyBorder="1" applyAlignment="1">
      <alignment horizontal="center" vertical="center"/>
    </xf>
    <xf numFmtId="1" fontId="0" fillId="3" borderId="31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1" fontId="0" fillId="3" borderId="7" xfId="0" applyNumberFormat="1" applyFill="1" applyBorder="1" applyAlignment="1">
      <alignment horizontal="center" vertical="center"/>
    </xf>
    <xf numFmtId="1" fontId="0" fillId="3" borderId="9" xfId="0" applyNumberForma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2" fontId="1" fillId="3" borderId="29" xfId="0" applyNumberFormat="1" applyFont="1" applyFill="1" applyBorder="1" applyAlignment="1">
      <alignment horizontal="center" vertical="center"/>
    </xf>
    <xf numFmtId="2" fontId="1" fillId="3" borderId="31" xfId="0" applyNumberFormat="1" applyFon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0" borderId="8" xfId="0" applyNumberForma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4" fontId="0" fillId="3" borderId="6" xfId="0" applyNumberFormat="1" applyFill="1" applyBorder="1" applyAlignment="1">
      <alignment horizontal="center" vertical="center"/>
    </xf>
    <xf numFmtId="4" fontId="0" fillId="4" borderId="6" xfId="0" applyNumberFormat="1" applyFill="1" applyBorder="1" applyAlignment="1">
      <alignment horizontal="center" vertical="center"/>
    </xf>
    <xf numFmtId="4" fontId="0" fillId="3" borderId="9" xfId="0" applyNumberFormat="1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4" fontId="0" fillId="0" borderId="6" xfId="0" applyNumberFormat="1" applyFill="1" applyBorder="1" applyAlignment="1">
      <alignment horizontal="center" vertical="center"/>
    </xf>
    <xf numFmtId="4" fontId="0" fillId="0" borderId="9" xfId="0" applyNumberForma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4" xfId="0" applyNumberFormat="1" applyFill="1" applyBorder="1" applyAlignment="1">
      <alignment horizontal="center" vertical="center"/>
    </xf>
    <xf numFmtId="3" fontId="0" fillId="4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1" fontId="0" fillId="3" borderId="3" xfId="0" applyNumberFormat="1" applyFill="1" applyBorder="1" applyAlignment="1">
      <alignment horizontal="center" vertical="center"/>
    </xf>
    <xf numFmtId="4" fontId="1" fillId="3" borderId="28" xfId="0" applyNumberFormat="1" applyFont="1" applyFill="1" applyBorder="1" applyAlignment="1">
      <alignment horizontal="center" vertical="center"/>
    </xf>
    <xf numFmtId="4" fontId="1" fillId="3" borderId="9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textRotation="90" wrapText="1"/>
    </xf>
    <xf numFmtId="0" fontId="0" fillId="5" borderId="13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textRotation="90"/>
    </xf>
    <xf numFmtId="0" fontId="7" fillId="5" borderId="5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textRotation="90"/>
    </xf>
    <xf numFmtId="0" fontId="0" fillId="5" borderId="31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" fontId="0" fillId="0" borderId="6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1" fontId="0" fillId="0" borderId="9" xfId="0" applyNumberFormat="1" applyFill="1" applyBorder="1" applyAlignment="1">
      <alignment horizontal="center" vertical="center"/>
    </xf>
    <xf numFmtId="0" fontId="6" fillId="0" borderId="36" xfId="0" applyFont="1" applyFill="1" applyBorder="1" applyAlignment="1">
      <alignment vertical="center"/>
    </xf>
    <xf numFmtId="0" fontId="7" fillId="5" borderId="6" xfId="0" applyFont="1" applyFill="1" applyBorder="1" applyAlignment="1">
      <alignment horizontal="center" vertical="center"/>
    </xf>
    <xf numFmtId="1" fontId="0" fillId="0" borderId="18" xfId="0" applyNumberFormat="1" applyFill="1" applyBorder="1" applyAlignment="1">
      <alignment horizontal="center" vertical="center"/>
    </xf>
    <xf numFmtId="1" fontId="0" fillId="0" borderId="19" xfId="0" applyNumberFormat="1" applyFill="1" applyBorder="1" applyAlignment="1">
      <alignment horizontal="center" vertical="center"/>
    </xf>
    <xf numFmtId="1" fontId="0" fillId="0" borderId="20" xfId="0" applyNumberFormat="1" applyFill="1" applyBorder="1" applyAlignment="1">
      <alignment horizontal="center" vertical="center"/>
    </xf>
    <xf numFmtId="1" fontId="0" fillId="0" borderId="26" xfId="0" applyNumberForma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" fontId="0" fillId="0" borderId="7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center" vertical="center"/>
    </xf>
    <xf numFmtId="0" fontId="6" fillId="6" borderId="24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90"/>
    </xf>
    <xf numFmtId="0" fontId="0" fillId="0" borderId="1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6" fillId="6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1C81F-A6D3-469E-88E6-17D5CFFEE3BC}">
  <dimension ref="A1:BD27"/>
  <sheetViews>
    <sheetView tabSelected="1" zoomScale="115" zoomScaleNormal="115" workbookViewId="0">
      <selection activeCell="AK21" sqref="AK21"/>
    </sheetView>
  </sheetViews>
  <sheetFormatPr baseColWidth="10" defaultRowHeight="15" x14ac:dyDescent="0.25"/>
  <cols>
    <col min="1" max="1" width="11.42578125" style="3"/>
    <col min="2" max="2" width="9.5703125" style="3" customWidth="1"/>
    <col min="3" max="3" width="10.7109375" style="3" customWidth="1"/>
    <col min="4" max="4" width="10.42578125" style="3" customWidth="1"/>
    <col min="5" max="5" width="7.28515625" style="3" bestFit="1" customWidth="1"/>
    <col min="6" max="6" width="9.140625" style="3" bestFit="1" customWidth="1"/>
    <col min="7" max="7" width="10.5703125" style="3" bestFit="1" customWidth="1"/>
    <col min="8" max="9" width="12.5703125" style="3" customWidth="1"/>
    <col min="10" max="10" width="59.28515625" style="3" customWidth="1"/>
    <col min="11" max="11" width="39.5703125" style="6" bestFit="1" customWidth="1"/>
    <col min="12" max="12" width="13.28515625" style="3" customWidth="1"/>
    <col min="13" max="14" width="20.140625" style="3" customWidth="1"/>
    <col min="15" max="15" width="1.5703125" style="3" customWidth="1"/>
    <col min="16" max="17" width="11.42578125" style="3"/>
    <col min="18" max="18" width="16" style="3" bestFit="1" customWidth="1"/>
    <col min="19" max="19" width="15.42578125" style="3" bestFit="1" customWidth="1"/>
    <col min="20" max="20" width="16" style="3" bestFit="1" customWidth="1"/>
    <col min="21" max="21" width="19" style="3" customWidth="1"/>
    <col min="22" max="22" width="17.85546875" style="3" customWidth="1"/>
    <col min="23" max="23" width="1.5703125" style="3" customWidth="1"/>
    <col min="24" max="24" width="4.28515625" style="83" bestFit="1" customWidth="1"/>
    <col min="25" max="25" width="16.28515625" style="3" customWidth="1"/>
    <col min="26" max="28" width="16.140625" style="3" customWidth="1"/>
    <col min="29" max="31" width="11.42578125" style="3"/>
    <col min="32" max="32" width="22.7109375" style="3" bestFit="1" customWidth="1"/>
    <col min="33" max="37" width="11.42578125" style="3"/>
    <col min="38" max="38" width="2.5703125" style="3" customWidth="1"/>
    <col min="39" max="39" width="13.140625" style="3" customWidth="1"/>
    <col min="40" max="40" width="14.85546875" style="3" customWidth="1"/>
    <col min="41" max="42" width="16.7109375" style="3" customWidth="1"/>
    <col min="43" max="43" width="4.85546875" style="3" customWidth="1"/>
    <col min="44" max="44" width="10.5703125" style="3" customWidth="1"/>
    <col min="45" max="46" width="7.7109375" style="3" customWidth="1"/>
    <col min="47" max="47" width="8.7109375" style="3" customWidth="1"/>
    <col min="48" max="48" width="10.5703125" style="3" customWidth="1"/>
    <col min="49" max="16384" width="11.42578125" style="3"/>
  </cols>
  <sheetData>
    <row r="1" spans="1:56" ht="86.25" customHeight="1" thickTop="1" thickBot="1" x14ac:dyDescent="0.3">
      <c r="A1" s="178" t="s">
        <v>81</v>
      </c>
      <c r="B1" s="179"/>
      <c r="C1" s="179"/>
      <c r="D1" s="179"/>
      <c r="E1" s="179"/>
      <c r="F1" s="179"/>
      <c r="G1" s="179"/>
      <c r="H1" s="179"/>
      <c r="I1" s="180"/>
      <c r="P1" s="171" t="s">
        <v>84</v>
      </c>
      <c r="Q1" s="172"/>
      <c r="R1" s="172"/>
      <c r="S1" s="172"/>
      <c r="T1" s="172"/>
      <c r="U1" s="172"/>
      <c r="V1" s="197"/>
      <c r="X1" s="178" t="s">
        <v>77</v>
      </c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80"/>
      <c r="AM1" s="171" t="s">
        <v>93</v>
      </c>
      <c r="AN1" s="172"/>
      <c r="AO1" s="172"/>
      <c r="AP1" s="172"/>
      <c r="AQ1" s="172"/>
      <c r="AR1" s="172"/>
      <c r="AS1" s="172"/>
      <c r="AT1" s="172"/>
      <c r="AU1" s="172"/>
      <c r="AV1" s="172"/>
      <c r="AW1" s="157"/>
      <c r="AX1" s="134"/>
      <c r="AY1" s="134"/>
      <c r="AZ1" s="134"/>
      <c r="BA1" s="134"/>
      <c r="BB1" s="134"/>
      <c r="BC1" s="134"/>
      <c r="BD1" s="134"/>
    </row>
    <row r="2" spans="1:56" ht="7.5" customHeight="1" thickTop="1" x14ac:dyDescent="0.25">
      <c r="P2" s="10"/>
      <c r="Q2" s="10"/>
      <c r="R2" s="10"/>
      <c r="S2" s="10"/>
      <c r="T2" s="10"/>
      <c r="U2" s="10"/>
      <c r="V2" s="10"/>
    </row>
    <row r="3" spans="1:56" x14ac:dyDescent="0.25">
      <c r="P3" s="10"/>
      <c r="Q3" s="10"/>
      <c r="R3" s="10"/>
      <c r="S3" s="10"/>
      <c r="T3" s="10"/>
      <c r="U3" s="10"/>
      <c r="V3" s="10"/>
    </row>
    <row r="4" spans="1:56" ht="15.75" thickBot="1" x14ac:dyDescent="0.3">
      <c r="A4" s="7" t="s">
        <v>21</v>
      </c>
      <c r="B4" s="8" t="s">
        <v>45</v>
      </c>
      <c r="C4" s="4"/>
      <c r="D4" s="4"/>
      <c r="E4" s="4"/>
      <c r="F4" s="4"/>
      <c r="H4" s="9" t="s">
        <v>23</v>
      </c>
      <c r="I4" s="72"/>
      <c r="P4" s="10"/>
      <c r="Q4" s="10"/>
      <c r="R4" s="10"/>
      <c r="S4" s="10"/>
      <c r="T4" s="10"/>
      <c r="U4" s="10"/>
      <c r="V4" s="10"/>
      <c r="Y4" s="7" t="s">
        <v>21</v>
      </c>
      <c r="Z4" s="81" t="s">
        <v>72</v>
      </c>
      <c r="AA4" s="81"/>
      <c r="AB4" s="81"/>
      <c r="AC4" s="9" t="s">
        <v>23</v>
      </c>
      <c r="AD4" s="72"/>
      <c r="AE4" s="82" t="s">
        <v>74</v>
      </c>
    </row>
    <row r="5" spans="1:56" ht="16.5" thickTop="1" thickBot="1" x14ac:dyDescent="0.3">
      <c r="P5" s="10"/>
      <c r="Q5" s="193" t="s">
        <v>82</v>
      </c>
      <c r="R5" s="194"/>
      <c r="S5" s="195"/>
      <c r="T5" s="193" t="s">
        <v>83</v>
      </c>
      <c r="U5" s="194"/>
      <c r="V5" s="196"/>
      <c r="AO5" s="170" t="s">
        <v>85</v>
      </c>
      <c r="AP5" s="170"/>
      <c r="AQ5" s="173" t="s">
        <v>83</v>
      </c>
      <c r="AR5" s="174"/>
      <c r="AS5" s="174"/>
      <c r="AT5" s="174"/>
      <c r="AU5" s="174"/>
      <c r="AV5" s="175"/>
    </row>
    <row r="6" spans="1:56" s="1" customFormat="1" ht="78.75" customHeight="1" thickTop="1" x14ac:dyDescent="0.25">
      <c r="A6" s="36"/>
      <c r="B6" s="13" t="s">
        <v>3</v>
      </c>
      <c r="C6" s="14" t="s">
        <v>4</v>
      </c>
      <c r="D6" s="14" t="s">
        <v>6</v>
      </c>
      <c r="E6" s="14" t="s">
        <v>16</v>
      </c>
      <c r="F6" s="14" t="s">
        <v>30</v>
      </c>
      <c r="G6" s="14" t="s">
        <v>10</v>
      </c>
      <c r="H6" s="14" t="s">
        <v>13</v>
      </c>
      <c r="I6" s="15" t="s">
        <v>14</v>
      </c>
      <c r="J6" s="39" t="s">
        <v>28</v>
      </c>
      <c r="K6" s="61" t="s">
        <v>27</v>
      </c>
      <c r="L6" s="13" t="s">
        <v>44</v>
      </c>
      <c r="M6" s="15" t="s">
        <v>42</v>
      </c>
      <c r="N6" s="15" t="s">
        <v>64</v>
      </c>
      <c r="P6" s="36"/>
      <c r="Q6" s="13" t="s">
        <v>6</v>
      </c>
      <c r="R6" s="14" t="s">
        <v>42</v>
      </c>
      <c r="S6" s="15" t="s">
        <v>64</v>
      </c>
      <c r="T6" s="13" t="s">
        <v>6</v>
      </c>
      <c r="U6" s="14" t="s">
        <v>42</v>
      </c>
      <c r="V6" s="15" t="s">
        <v>64</v>
      </c>
      <c r="X6" s="142"/>
      <c r="Y6" s="128"/>
      <c r="Z6" s="13" t="str">
        <f>D6</f>
        <v>débit volumique</v>
      </c>
      <c r="AA6" s="14" t="str">
        <f>M6</f>
        <v>diamètre extérieur retenu dans la gamme de diamètres commercialisés</v>
      </c>
      <c r="AB6" s="15" t="s">
        <v>64</v>
      </c>
      <c r="AC6" s="143" t="s">
        <v>47</v>
      </c>
      <c r="AD6" s="14" t="s">
        <v>73</v>
      </c>
      <c r="AE6" s="14" t="s">
        <v>51</v>
      </c>
      <c r="AF6" s="14" t="s">
        <v>53</v>
      </c>
      <c r="AG6" s="128" t="s">
        <v>55</v>
      </c>
      <c r="AH6" s="144" t="s">
        <v>57</v>
      </c>
      <c r="AI6" s="143" t="s">
        <v>60</v>
      </c>
      <c r="AJ6" s="14" t="s">
        <v>61</v>
      </c>
      <c r="AK6" s="15" t="s">
        <v>62</v>
      </c>
      <c r="AM6" s="142"/>
      <c r="AN6" s="128"/>
      <c r="AO6" s="13" t="s">
        <v>47</v>
      </c>
      <c r="AP6" s="128" t="s">
        <v>51</v>
      </c>
      <c r="AQ6" s="13"/>
      <c r="AR6" s="14" t="s">
        <v>94</v>
      </c>
      <c r="AS6" s="14" t="s">
        <v>91</v>
      </c>
      <c r="AT6" s="14" t="s">
        <v>92</v>
      </c>
      <c r="AU6" s="14" t="s">
        <v>57</v>
      </c>
      <c r="AV6" s="15" t="s">
        <v>57</v>
      </c>
    </row>
    <row r="7" spans="1:56" s="2" customFormat="1" ht="18" x14ac:dyDescent="0.25">
      <c r="A7" s="37"/>
      <c r="B7" s="16" t="s">
        <v>1</v>
      </c>
      <c r="C7" s="18" t="s">
        <v>8</v>
      </c>
      <c r="D7" s="17" t="s">
        <v>7</v>
      </c>
      <c r="E7" s="17" t="s">
        <v>17</v>
      </c>
      <c r="F7" s="17" t="s">
        <v>40</v>
      </c>
      <c r="G7" s="17" t="s">
        <v>9</v>
      </c>
      <c r="H7" s="17" t="s">
        <v>11</v>
      </c>
      <c r="I7" s="19" t="s">
        <v>12</v>
      </c>
      <c r="J7" s="40"/>
      <c r="K7" s="62"/>
      <c r="L7" s="16" t="s">
        <v>41</v>
      </c>
      <c r="M7" s="19" t="s">
        <v>41</v>
      </c>
      <c r="N7" s="19" t="s">
        <v>17</v>
      </c>
      <c r="P7" s="37"/>
      <c r="Q7" s="16" t="s">
        <v>7</v>
      </c>
      <c r="R7" s="17" t="s">
        <v>41</v>
      </c>
      <c r="S7" s="19" t="s">
        <v>17</v>
      </c>
      <c r="T7" s="16" t="s">
        <v>7</v>
      </c>
      <c r="U7" s="17" t="s">
        <v>41</v>
      </c>
      <c r="V7" s="19" t="s">
        <v>17</v>
      </c>
      <c r="X7" s="145"/>
      <c r="Y7" s="129"/>
      <c r="Z7" s="16" t="s">
        <v>7</v>
      </c>
      <c r="AA7" s="17" t="s">
        <v>41</v>
      </c>
      <c r="AB7" s="19" t="s">
        <v>17</v>
      </c>
      <c r="AC7" s="40" t="s">
        <v>46</v>
      </c>
      <c r="AD7" s="17" t="s">
        <v>49</v>
      </c>
      <c r="AE7" s="17" t="s">
        <v>52</v>
      </c>
      <c r="AF7" s="146" t="s">
        <v>54</v>
      </c>
      <c r="AG7" s="147" t="s">
        <v>56</v>
      </c>
      <c r="AH7" s="148" t="s">
        <v>59</v>
      </c>
      <c r="AI7" s="40"/>
      <c r="AJ7" s="17"/>
      <c r="AK7" s="19"/>
      <c r="AM7" s="145"/>
      <c r="AN7" s="129"/>
      <c r="AO7" s="16" t="s">
        <v>46</v>
      </c>
      <c r="AP7" s="129" t="s">
        <v>52</v>
      </c>
      <c r="AQ7" s="16"/>
      <c r="AR7" s="17" t="s">
        <v>46</v>
      </c>
      <c r="AS7" s="146" t="s">
        <v>59</v>
      </c>
      <c r="AT7" s="146" t="s">
        <v>59</v>
      </c>
      <c r="AU7" s="146" t="s">
        <v>59</v>
      </c>
      <c r="AV7" s="158" t="s">
        <v>59</v>
      </c>
    </row>
    <row r="8" spans="1:56" ht="15.75" thickBot="1" x14ac:dyDescent="0.3">
      <c r="A8" s="38" t="s">
        <v>0</v>
      </c>
      <c r="B8" s="33" t="s">
        <v>2</v>
      </c>
      <c r="C8" s="34" t="s">
        <v>5</v>
      </c>
      <c r="D8" s="34" t="s">
        <v>19</v>
      </c>
      <c r="E8" s="34" t="s">
        <v>18</v>
      </c>
      <c r="F8" s="34" t="s">
        <v>20</v>
      </c>
      <c r="G8" s="34" t="s">
        <v>22</v>
      </c>
      <c r="H8" s="34" t="s">
        <v>15</v>
      </c>
      <c r="I8" s="35" t="s">
        <v>15</v>
      </c>
      <c r="J8" s="41"/>
      <c r="K8" s="63"/>
      <c r="L8" s="33" t="s">
        <v>20</v>
      </c>
      <c r="M8" s="35" t="s">
        <v>20</v>
      </c>
      <c r="N8" s="35" t="s">
        <v>18</v>
      </c>
      <c r="P8" s="38" t="s">
        <v>0</v>
      </c>
      <c r="Q8" s="33" t="s">
        <v>19</v>
      </c>
      <c r="R8" s="34" t="s">
        <v>20</v>
      </c>
      <c r="S8" s="35" t="s">
        <v>18</v>
      </c>
      <c r="T8" s="33" t="s">
        <v>19</v>
      </c>
      <c r="U8" s="34" t="s">
        <v>20</v>
      </c>
      <c r="V8" s="35" t="s">
        <v>18</v>
      </c>
      <c r="X8" s="149"/>
      <c r="Y8" s="130"/>
      <c r="Z8" s="33" t="s">
        <v>19</v>
      </c>
      <c r="AA8" s="34" t="s">
        <v>20</v>
      </c>
      <c r="AB8" s="35" t="s">
        <v>18</v>
      </c>
      <c r="AC8" s="41" t="s">
        <v>48</v>
      </c>
      <c r="AD8" s="34" t="s">
        <v>50</v>
      </c>
      <c r="AE8" s="34" t="s">
        <v>58</v>
      </c>
      <c r="AF8" s="34" t="s">
        <v>58</v>
      </c>
      <c r="AG8" s="130" t="s">
        <v>58</v>
      </c>
      <c r="AH8" s="150" t="s">
        <v>58</v>
      </c>
      <c r="AI8" s="41" t="s">
        <v>58</v>
      </c>
      <c r="AJ8" s="34" t="s">
        <v>58</v>
      </c>
      <c r="AK8" s="35" t="s">
        <v>63</v>
      </c>
      <c r="AM8" s="149"/>
      <c r="AN8" s="130"/>
      <c r="AO8" s="33" t="s">
        <v>48</v>
      </c>
      <c r="AP8" s="130" t="s">
        <v>58</v>
      </c>
      <c r="AQ8" s="33"/>
      <c r="AR8" s="34" t="s">
        <v>48</v>
      </c>
      <c r="AS8" s="34" t="s">
        <v>58</v>
      </c>
      <c r="AT8" s="34" t="s">
        <v>58</v>
      </c>
      <c r="AU8" s="34" t="s">
        <v>58</v>
      </c>
      <c r="AV8" s="35" t="s">
        <v>58</v>
      </c>
    </row>
    <row r="9" spans="1:56" ht="18.75" thickTop="1" x14ac:dyDescent="0.25">
      <c r="A9" s="42" t="s">
        <v>43</v>
      </c>
      <c r="B9" s="49">
        <v>10000</v>
      </c>
      <c r="C9" s="50">
        <v>975</v>
      </c>
      <c r="D9" s="51">
        <f>B9/(C9*G9*(H9-I9))*1000*3600</f>
        <v>441.66359955833644</v>
      </c>
      <c r="E9" s="52">
        <v>1</v>
      </c>
      <c r="F9" s="73">
        <f>((4*D9/1000/3600)/(E9*PI()))^0.5*1000</f>
        <v>12.498261661657743</v>
      </c>
      <c r="G9" s="50">
        <v>4180</v>
      </c>
      <c r="H9" s="52">
        <v>80</v>
      </c>
      <c r="I9" s="53">
        <v>60</v>
      </c>
      <c r="J9" s="184" t="s">
        <v>24</v>
      </c>
      <c r="K9" s="64" t="s">
        <v>25</v>
      </c>
      <c r="L9" s="77">
        <f>F9+2</f>
        <v>14.498261661657743</v>
      </c>
      <c r="M9" s="69">
        <f>INDEX($C$20:$C$27,MATCH(L9,$C$20:$C$27,-1))</f>
        <v>16</v>
      </c>
      <c r="N9" s="124">
        <f>4*D9/1000/3600/(PI()*((M9-2)*0.001) ^2)</f>
        <v>0.7969721661391006</v>
      </c>
      <c r="P9" s="42" t="s">
        <v>43</v>
      </c>
      <c r="Q9" s="135">
        <f>D9</f>
        <v>441.66359955833644</v>
      </c>
      <c r="R9" s="121">
        <f>M9</f>
        <v>16</v>
      </c>
      <c r="S9" s="131">
        <f>N9</f>
        <v>0.7969721661391006</v>
      </c>
      <c r="T9" s="135">
        <v>440</v>
      </c>
      <c r="U9" s="121">
        <v>16</v>
      </c>
      <c r="V9" s="131">
        <v>0.79</v>
      </c>
      <c r="X9" s="181" t="s">
        <v>75</v>
      </c>
      <c r="Y9" s="98" t="s">
        <v>66</v>
      </c>
      <c r="Z9" s="49">
        <f>D9</f>
        <v>441.66359955833644</v>
      </c>
      <c r="AA9" s="50">
        <f>M9</f>
        <v>16</v>
      </c>
      <c r="AB9" s="140">
        <f>4*Z9/1000/3600/(PI()*((AA9-2)*0.001)^2)</f>
        <v>0.7969721661391006</v>
      </c>
      <c r="AC9" s="99">
        <v>58</v>
      </c>
      <c r="AD9" s="94">
        <f>0.69+0.7</f>
        <v>1.39</v>
      </c>
      <c r="AE9" s="95">
        <f>AC9*AD9</f>
        <v>80.61999999999999</v>
      </c>
      <c r="AF9" s="95">
        <f>0.15*AE9</f>
        <v>12.092999999999998</v>
      </c>
      <c r="AG9" s="102">
        <v>0</v>
      </c>
      <c r="AH9" s="108">
        <f>AE9+AF9+AG9</f>
        <v>92.712999999999994</v>
      </c>
      <c r="AI9" s="105">
        <f>AH10-AH9</f>
        <v>308.82100000000003</v>
      </c>
      <c r="AJ9" s="96"/>
      <c r="AK9" s="97"/>
      <c r="AM9" s="181" t="s">
        <v>75</v>
      </c>
      <c r="AN9" s="98" t="s">
        <v>66</v>
      </c>
      <c r="AO9" s="151">
        <v>58</v>
      </c>
      <c r="AP9" s="159">
        <f>AE9</f>
        <v>80.61999999999999</v>
      </c>
      <c r="AQ9" s="162" t="s">
        <v>88</v>
      </c>
      <c r="AR9" s="163" t="s">
        <v>86</v>
      </c>
      <c r="AS9" s="168">
        <v>361.7</v>
      </c>
      <c r="AT9" s="168">
        <v>393.9</v>
      </c>
      <c r="AU9" s="168">
        <f>SUM(AS9:AT9)</f>
        <v>755.59999999999991</v>
      </c>
      <c r="AV9" s="152">
        <f>AU9/(975*9.81)*1000</f>
        <v>78.998405603910186</v>
      </c>
    </row>
    <row r="10" spans="1:56" ht="18" x14ac:dyDescent="0.25">
      <c r="A10" s="43">
        <v>2</v>
      </c>
      <c r="B10" s="54">
        <v>10000</v>
      </c>
      <c r="C10" s="20">
        <v>975</v>
      </c>
      <c r="D10" s="21">
        <f t="shared" ref="D10:D12" si="0">B10/(C10*G10*(H10-I10))*1000*3600</f>
        <v>883.32719911667289</v>
      </c>
      <c r="E10" s="22">
        <v>1</v>
      </c>
      <c r="F10" s="74">
        <f t="shared" ref="F10:F12" si="1">((4*D10/1000/3600)/(E10*PI()))^0.5*1000</f>
        <v>17.675211148004074</v>
      </c>
      <c r="G10" s="20">
        <v>4180</v>
      </c>
      <c r="H10" s="23">
        <v>70</v>
      </c>
      <c r="I10" s="55">
        <v>60</v>
      </c>
      <c r="J10" s="185"/>
      <c r="K10" s="65" t="s">
        <v>26</v>
      </c>
      <c r="L10" s="78">
        <f>F10+2</f>
        <v>19.675211148004074</v>
      </c>
      <c r="M10" s="70">
        <f>INDEX($C$20:$C$27,MATCH(L10,$C$20:$C$27,-1))</f>
        <v>22</v>
      </c>
      <c r="N10" s="125">
        <f t="shared" ref="N10:N17" si="2">4*D10/1000/3600/(PI()*((M10-2)*0.001) ^2)</f>
        <v>0.78103272281631875</v>
      </c>
      <c r="P10" s="43">
        <v>2</v>
      </c>
      <c r="Q10" s="136">
        <f>D10</f>
        <v>883.32719911667289</v>
      </c>
      <c r="R10" s="122">
        <f>M10</f>
        <v>22</v>
      </c>
      <c r="S10" s="132">
        <f t="shared" ref="S10:S17" si="3">N10</f>
        <v>0.78103272281631875</v>
      </c>
      <c r="T10" s="136">
        <v>882</v>
      </c>
      <c r="U10" s="122">
        <v>22</v>
      </c>
      <c r="V10" s="132">
        <v>0.78</v>
      </c>
      <c r="X10" s="182"/>
      <c r="Y10" s="67" t="s">
        <v>67</v>
      </c>
      <c r="Z10" s="54">
        <f>Z9</f>
        <v>441.66359955833644</v>
      </c>
      <c r="AA10" s="20">
        <f>AA9</f>
        <v>16</v>
      </c>
      <c r="AB10" s="140">
        <f t="shared" ref="AB10:AB11" si="4">4*Z10/1000/3600/(PI()*((AA10-2)*0.001)^2)</f>
        <v>0.7969721661391006</v>
      </c>
      <c r="AC10" s="100">
        <v>58</v>
      </c>
      <c r="AD10" s="85">
        <f>0.6+2+0.75+1.06+1.21+0.4</f>
        <v>6.0200000000000005</v>
      </c>
      <c r="AE10" s="86">
        <f t="shared" ref="AE10:AE11" si="5">AC10*AD10</f>
        <v>349.16</v>
      </c>
      <c r="AF10" s="86">
        <f t="shared" ref="AF10:AF11" si="6">0.15*AE10</f>
        <v>52.374000000000002</v>
      </c>
      <c r="AG10" s="103">
        <v>0</v>
      </c>
      <c r="AH10" s="109">
        <f t="shared" ref="AH10:AH11" si="7">AE10+AF10+AG10</f>
        <v>401.53400000000005</v>
      </c>
      <c r="AI10" s="106">
        <v>0</v>
      </c>
      <c r="AJ10" s="87"/>
      <c r="AK10" s="88"/>
      <c r="AM10" s="182"/>
      <c r="AN10" s="67" t="s">
        <v>67</v>
      </c>
      <c r="AO10" s="153">
        <v>58</v>
      </c>
      <c r="AP10" s="160">
        <f t="shared" ref="AP10:AP11" si="8">AE10</f>
        <v>349.16</v>
      </c>
      <c r="AQ10" s="164" t="s">
        <v>89</v>
      </c>
      <c r="AR10" s="165" t="s">
        <v>86</v>
      </c>
      <c r="AS10" s="165">
        <v>1352.9</v>
      </c>
      <c r="AT10" s="165">
        <v>1915.9</v>
      </c>
      <c r="AU10" s="165">
        <f>SUM(AS10:AT10)</f>
        <v>3268.8</v>
      </c>
      <c r="AV10" s="154">
        <f>AU10/(975*9.81)*1000</f>
        <v>341.75488120442247</v>
      </c>
    </row>
    <row r="11" spans="1:56" ht="15.75" thickBot="1" x14ac:dyDescent="0.3">
      <c r="A11" s="43">
        <v>3</v>
      </c>
      <c r="B11" s="56">
        <v>5000</v>
      </c>
      <c r="C11" s="20">
        <v>975</v>
      </c>
      <c r="D11" s="21">
        <f t="shared" si="0"/>
        <v>220.83179977916822</v>
      </c>
      <c r="E11" s="22">
        <v>1</v>
      </c>
      <c r="F11" s="74">
        <f t="shared" si="1"/>
        <v>8.8376055740020369</v>
      </c>
      <c r="G11" s="20">
        <v>4180</v>
      </c>
      <c r="H11" s="24">
        <v>80</v>
      </c>
      <c r="I11" s="55">
        <v>60</v>
      </c>
      <c r="J11" s="185"/>
      <c r="K11" s="65"/>
      <c r="L11" s="78">
        <f>F11+2</f>
        <v>10.837605574002037</v>
      </c>
      <c r="M11" s="70">
        <f>INDEX($C$20:$C$27,MATCH(L11,$C$20:$C$27,-1))</f>
        <v>12</v>
      </c>
      <c r="N11" s="125">
        <f t="shared" si="2"/>
        <v>0.78103272281631875</v>
      </c>
      <c r="P11" s="43">
        <v>3</v>
      </c>
      <c r="Q11" s="136">
        <f>D11</f>
        <v>220.83179977916822</v>
      </c>
      <c r="R11" s="122">
        <f>M11</f>
        <v>12</v>
      </c>
      <c r="S11" s="132">
        <f t="shared" si="3"/>
        <v>0.78103272281631875</v>
      </c>
      <c r="T11" s="136">
        <v>220</v>
      </c>
      <c r="U11" s="122">
        <v>12</v>
      </c>
      <c r="V11" s="132">
        <v>0.78</v>
      </c>
      <c r="X11" s="183"/>
      <c r="Y11" s="68" t="s">
        <v>65</v>
      </c>
      <c r="Z11" s="59">
        <f>D14</f>
        <v>883.32719911667289</v>
      </c>
      <c r="AA11" s="29">
        <f>M14</f>
        <v>22</v>
      </c>
      <c r="AB11" s="141">
        <f t="shared" si="4"/>
        <v>0.78103272281631875</v>
      </c>
      <c r="AC11" s="101">
        <v>34</v>
      </c>
      <c r="AD11" s="90">
        <f>1.11+0.44+0.98+0.25</f>
        <v>2.7800000000000002</v>
      </c>
      <c r="AE11" s="91">
        <f t="shared" si="5"/>
        <v>94.52000000000001</v>
      </c>
      <c r="AF11" s="91">
        <f t="shared" si="6"/>
        <v>14.178000000000001</v>
      </c>
      <c r="AG11" s="104">
        <v>0</v>
      </c>
      <c r="AH11" s="110">
        <f t="shared" si="7"/>
        <v>108.69800000000001</v>
      </c>
      <c r="AI11" s="107"/>
      <c r="AJ11" s="92"/>
      <c r="AK11" s="93"/>
      <c r="AM11" s="183"/>
      <c r="AN11" s="68" t="s">
        <v>65</v>
      </c>
      <c r="AO11" s="155">
        <v>34</v>
      </c>
      <c r="AP11" s="161">
        <f t="shared" si="8"/>
        <v>94.52000000000001</v>
      </c>
      <c r="AQ11" s="166" t="s">
        <v>90</v>
      </c>
      <c r="AR11" s="167" t="s">
        <v>87</v>
      </c>
      <c r="AS11" s="167">
        <v>413.2</v>
      </c>
      <c r="AT11" s="167">
        <v>537.9</v>
      </c>
      <c r="AU11" s="167">
        <f>SUM(AS11:AT11)</f>
        <v>951.09999999999991</v>
      </c>
      <c r="AV11" s="156">
        <f>AU11/(975*9.81)*1000</f>
        <v>99.438040722444384</v>
      </c>
    </row>
    <row r="12" spans="1:56" ht="15.75" thickTop="1" x14ac:dyDescent="0.25">
      <c r="A12" s="43">
        <f t="shared" ref="A12:A17" si="9">A11+1</f>
        <v>4</v>
      </c>
      <c r="B12" s="54">
        <v>10000</v>
      </c>
      <c r="C12" s="20">
        <v>975</v>
      </c>
      <c r="D12" s="21">
        <f t="shared" si="0"/>
        <v>441.66359955833644</v>
      </c>
      <c r="E12" s="23">
        <v>0.5</v>
      </c>
      <c r="F12" s="74">
        <f t="shared" si="1"/>
        <v>17.675211148004074</v>
      </c>
      <c r="G12" s="20">
        <v>4180</v>
      </c>
      <c r="H12" s="24">
        <v>80</v>
      </c>
      <c r="I12" s="55">
        <v>60</v>
      </c>
      <c r="J12" s="185"/>
      <c r="K12" s="65"/>
      <c r="L12" s="78">
        <f>F12+2</f>
        <v>19.675211148004074</v>
      </c>
      <c r="M12" s="70">
        <f>INDEX($C$20:$C$27,MATCH(L12,$C$20:$C$27,-1))</f>
        <v>22</v>
      </c>
      <c r="N12" s="125">
        <f t="shared" si="2"/>
        <v>0.39051636140815937</v>
      </c>
      <c r="P12" s="43">
        <f t="shared" ref="P12:P17" si="10">P11+1</f>
        <v>4</v>
      </c>
      <c r="Q12" s="136">
        <f>D12</f>
        <v>441.66359955833644</v>
      </c>
      <c r="R12" s="122">
        <f>M12</f>
        <v>22</v>
      </c>
      <c r="S12" s="132">
        <f t="shared" si="3"/>
        <v>0.39051636140815937</v>
      </c>
      <c r="T12" s="136">
        <v>440</v>
      </c>
      <c r="U12" s="122">
        <v>22</v>
      </c>
      <c r="V12" s="132">
        <v>0.39</v>
      </c>
    </row>
    <row r="13" spans="1:56" s="10" customFormat="1" ht="6.75" customHeight="1" thickBot="1" x14ac:dyDescent="0.3">
      <c r="A13" s="44"/>
      <c r="B13" s="57"/>
      <c r="C13" s="25"/>
      <c r="D13" s="26"/>
      <c r="E13" s="27"/>
      <c r="F13" s="75"/>
      <c r="G13" s="25"/>
      <c r="H13" s="27"/>
      <c r="I13" s="58"/>
      <c r="J13" s="46"/>
      <c r="K13" s="66"/>
      <c r="L13" s="79"/>
      <c r="M13" s="28"/>
      <c r="N13" s="126"/>
      <c r="P13" s="44"/>
      <c r="Q13" s="137"/>
      <c r="R13" s="26"/>
      <c r="S13" s="126"/>
      <c r="T13" s="137"/>
      <c r="U13" s="26"/>
      <c r="V13" s="126"/>
      <c r="X13" s="84"/>
      <c r="AD13" s="12"/>
    </row>
    <row r="14" spans="1:56" ht="16.5" customHeight="1" thickTop="1" x14ac:dyDescent="0.25">
      <c r="A14" s="43">
        <f>A12+1</f>
        <v>5</v>
      </c>
      <c r="B14" s="54">
        <v>20000</v>
      </c>
      <c r="C14" s="20">
        <v>975</v>
      </c>
      <c r="D14" s="21">
        <f>B14/(C14*G14*(H14-I14))*1000*3600</f>
        <v>883.32719911667289</v>
      </c>
      <c r="E14" s="22">
        <v>1</v>
      </c>
      <c r="F14" s="74">
        <f>((4*D14/1000/3600)/(E14*PI()))^0.5*1000</f>
        <v>17.675211148004074</v>
      </c>
      <c r="G14" s="20">
        <v>4180</v>
      </c>
      <c r="H14" s="22">
        <v>80</v>
      </c>
      <c r="I14" s="55">
        <v>60</v>
      </c>
      <c r="J14" s="47"/>
      <c r="K14" s="67"/>
      <c r="L14" s="78">
        <f>F14+2</f>
        <v>19.675211148004074</v>
      </c>
      <c r="M14" s="70">
        <f>INDEX($C$20:$C$27,MATCH(L14,$C$20:$C$27,-1))</f>
        <v>22</v>
      </c>
      <c r="N14" s="125">
        <f t="shared" si="2"/>
        <v>0.78103272281631875</v>
      </c>
      <c r="P14" s="43">
        <f>P12+1</f>
        <v>5</v>
      </c>
      <c r="Q14" s="136">
        <f>D14</f>
        <v>883.32719911667289</v>
      </c>
      <c r="R14" s="122">
        <f>M14</f>
        <v>22</v>
      </c>
      <c r="S14" s="132">
        <f t="shared" si="3"/>
        <v>0.78103272281631875</v>
      </c>
      <c r="T14" s="136">
        <v>881</v>
      </c>
      <c r="U14" s="122">
        <v>22</v>
      </c>
      <c r="V14" s="132">
        <v>0.78</v>
      </c>
      <c r="X14" s="186" t="s">
        <v>76</v>
      </c>
      <c r="Y14" s="111" t="s">
        <v>68</v>
      </c>
      <c r="Z14" s="111" t="s">
        <v>70</v>
      </c>
      <c r="AA14" s="187"/>
      <c r="AB14" s="188"/>
      <c r="AC14" s="188"/>
      <c r="AD14" s="188"/>
      <c r="AE14" s="188"/>
      <c r="AF14" s="188"/>
      <c r="AG14" s="189"/>
      <c r="AH14" s="112">
        <f>AH11+AH9</f>
        <v>201.411</v>
      </c>
      <c r="AI14" s="139">
        <f>AH15-AH14</f>
        <v>308.82100000000008</v>
      </c>
    </row>
    <row r="15" spans="1:56" ht="18.75" thickBot="1" x14ac:dyDescent="0.3">
      <c r="A15" s="43">
        <f t="shared" si="9"/>
        <v>6</v>
      </c>
      <c r="B15" s="54">
        <v>20000</v>
      </c>
      <c r="C15" s="20">
        <v>975</v>
      </c>
      <c r="D15" s="21">
        <f t="shared" ref="D15:D17" si="11">B15/(C15*G15*(H15-I15))*1000*3600</f>
        <v>1766.6543982333458</v>
      </c>
      <c r="E15" s="22">
        <v>1</v>
      </c>
      <c r="F15" s="74">
        <f t="shared" ref="F15:F17" si="12">((4*D15/1000/3600)/(E15*PI()))^0.5*1000</f>
        <v>24.996523323315486</v>
      </c>
      <c r="G15" s="20">
        <v>4180</v>
      </c>
      <c r="H15" s="23">
        <v>70</v>
      </c>
      <c r="I15" s="55">
        <v>60</v>
      </c>
      <c r="J15" s="47"/>
      <c r="K15" s="67"/>
      <c r="L15" s="78">
        <f>F15+2</f>
        <v>26.996523323315486</v>
      </c>
      <c r="M15" s="70">
        <f>INDEX($C$20:$C$27,MATCH(L15,$C$20:$C$27,-1))</f>
        <v>28</v>
      </c>
      <c r="N15" s="125">
        <f t="shared" si="2"/>
        <v>0.92429908025599827</v>
      </c>
      <c r="P15" s="43">
        <f t="shared" si="10"/>
        <v>6</v>
      </c>
      <c r="Q15" s="136">
        <f>D15</f>
        <v>1766.6543982333458</v>
      </c>
      <c r="R15" s="122">
        <f>M15</f>
        <v>28</v>
      </c>
      <c r="S15" s="132">
        <f t="shared" si="3"/>
        <v>0.92429908025599827</v>
      </c>
      <c r="T15" s="136">
        <v>1765</v>
      </c>
      <c r="U15" s="122">
        <v>28</v>
      </c>
      <c r="V15" s="132">
        <v>0.92</v>
      </c>
      <c r="X15" s="183"/>
      <c r="Y15" s="89" t="s">
        <v>69</v>
      </c>
      <c r="Z15" s="89" t="s">
        <v>71</v>
      </c>
      <c r="AA15" s="190"/>
      <c r="AB15" s="191"/>
      <c r="AC15" s="191"/>
      <c r="AD15" s="191"/>
      <c r="AE15" s="191"/>
      <c r="AF15" s="191"/>
      <c r="AG15" s="192"/>
      <c r="AH15" s="114">
        <f>AH11+AH10</f>
        <v>510.23200000000008</v>
      </c>
      <c r="AI15" s="115">
        <v>0</v>
      </c>
    </row>
    <row r="16" spans="1:56" ht="16.5" thickTop="1" thickBot="1" x14ac:dyDescent="0.3">
      <c r="A16" s="43">
        <f t="shared" si="9"/>
        <v>7</v>
      </c>
      <c r="B16" s="56">
        <v>10000</v>
      </c>
      <c r="C16" s="20">
        <v>975</v>
      </c>
      <c r="D16" s="21">
        <f t="shared" si="11"/>
        <v>441.66359955833644</v>
      </c>
      <c r="E16" s="22">
        <v>1</v>
      </c>
      <c r="F16" s="74">
        <f t="shared" si="12"/>
        <v>12.498261661657743</v>
      </c>
      <c r="G16" s="20">
        <v>4180</v>
      </c>
      <c r="H16" s="24">
        <v>80</v>
      </c>
      <c r="I16" s="55">
        <v>60</v>
      </c>
      <c r="J16" s="47"/>
      <c r="K16" s="67"/>
      <c r="L16" s="78">
        <f>F16+2</f>
        <v>14.498261661657743</v>
      </c>
      <c r="M16" s="70">
        <f>INDEX($C$20:$C$27,MATCH(L16,$C$20:$C$27,-1))</f>
        <v>16</v>
      </c>
      <c r="N16" s="125">
        <f t="shared" si="2"/>
        <v>0.7969721661391006</v>
      </c>
      <c r="P16" s="43">
        <f t="shared" si="10"/>
        <v>7</v>
      </c>
      <c r="Q16" s="136">
        <f>D16</f>
        <v>441.66359955833644</v>
      </c>
      <c r="R16" s="122">
        <f>M16</f>
        <v>16</v>
      </c>
      <c r="S16" s="132">
        <f t="shared" si="3"/>
        <v>0.7969721661391006</v>
      </c>
      <c r="T16" s="136">
        <v>440</v>
      </c>
      <c r="U16" s="122">
        <v>16</v>
      </c>
      <c r="V16" s="132">
        <v>0.79</v>
      </c>
    </row>
    <row r="17" spans="1:34" ht="16.5" thickTop="1" thickBot="1" x14ac:dyDescent="0.3">
      <c r="A17" s="45">
        <f t="shared" si="9"/>
        <v>8</v>
      </c>
      <c r="B17" s="59">
        <v>20000</v>
      </c>
      <c r="C17" s="29">
        <v>975</v>
      </c>
      <c r="D17" s="30">
        <f t="shared" si="11"/>
        <v>883.32719911667289</v>
      </c>
      <c r="E17" s="31">
        <v>0.5</v>
      </c>
      <c r="F17" s="76">
        <f t="shared" si="12"/>
        <v>24.996523323315486</v>
      </c>
      <c r="G17" s="29">
        <v>4180</v>
      </c>
      <c r="H17" s="32">
        <v>80</v>
      </c>
      <c r="I17" s="60">
        <v>60</v>
      </c>
      <c r="J17" s="48"/>
      <c r="K17" s="68"/>
      <c r="L17" s="80">
        <f>F17+2</f>
        <v>26.996523323315486</v>
      </c>
      <c r="M17" s="71">
        <f>INDEX($C$20:$C$27,MATCH(L17,$C$20:$C$27,-1))</f>
        <v>28</v>
      </c>
      <c r="N17" s="127">
        <f t="shared" si="2"/>
        <v>0.46214954012799914</v>
      </c>
      <c r="P17" s="45">
        <f t="shared" si="10"/>
        <v>8</v>
      </c>
      <c r="Q17" s="138">
        <f>D17</f>
        <v>883.32719911667289</v>
      </c>
      <c r="R17" s="123">
        <f>M17</f>
        <v>28</v>
      </c>
      <c r="S17" s="133">
        <f t="shared" si="3"/>
        <v>0.46214954012799914</v>
      </c>
      <c r="T17" s="138">
        <v>881</v>
      </c>
      <c r="U17" s="123">
        <v>28</v>
      </c>
      <c r="V17" s="133">
        <v>0.46</v>
      </c>
      <c r="AE17" s="176" t="s">
        <v>79</v>
      </c>
      <c r="AF17" s="52" t="s">
        <v>7</v>
      </c>
      <c r="AG17" s="117" t="s">
        <v>80</v>
      </c>
      <c r="AH17" s="119">
        <f>Z11/1000</f>
        <v>0.8833271991166729</v>
      </c>
    </row>
    <row r="18" spans="1:34" ht="16.5" thickTop="1" thickBot="1" x14ac:dyDescent="0.3">
      <c r="B18" s="5"/>
      <c r="C18" s="5"/>
      <c r="D18" s="5"/>
      <c r="G18" s="5"/>
      <c r="P18" s="10"/>
      <c r="Q18" s="10"/>
      <c r="R18" s="10"/>
      <c r="S18" s="10"/>
      <c r="T18" s="10"/>
      <c r="U18" s="10"/>
      <c r="V18" s="10"/>
      <c r="AE18" s="177"/>
      <c r="AF18" s="116" t="s">
        <v>78</v>
      </c>
      <c r="AG18" s="118" t="s">
        <v>95</v>
      </c>
      <c r="AH18" s="120">
        <f>AH15/1000</f>
        <v>0.51023200000000013</v>
      </c>
    </row>
    <row r="19" spans="1:34" ht="45.75" thickTop="1" x14ac:dyDescent="0.25">
      <c r="A19" s="6" t="s">
        <v>39</v>
      </c>
      <c r="B19" s="5"/>
      <c r="C19" s="1" t="s">
        <v>29</v>
      </c>
      <c r="D19" s="5"/>
      <c r="G19" s="5"/>
    </row>
    <row r="20" spans="1:34" x14ac:dyDescent="0.25">
      <c r="B20" s="11" t="s">
        <v>38</v>
      </c>
      <c r="C20" s="3">
        <v>32</v>
      </c>
      <c r="D20" s="5"/>
      <c r="G20" s="5"/>
    </row>
    <row r="21" spans="1:34" x14ac:dyDescent="0.25">
      <c r="B21" s="11" t="s">
        <v>36</v>
      </c>
      <c r="C21" s="3">
        <v>28</v>
      </c>
      <c r="D21" s="5"/>
      <c r="G21" s="5"/>
    </row>
    <row r="22" spans="1:34" x14ac:dyDescent="0.25">
      <c r="B22" s="11" t="s">
        <v>35</v>
      </c>
      <c r="C22" s="3">
        <v>22</v>
      </c>
      <c r="D22" s="5"/>
      <c r="G22" s="5"/>
    </row>
    <row r="23" spans="1:34" x14ac:dyDescent="0.25">
      <c r="B23" s="11" t="s">
        <v>34</v>
      </c>
      <c r="C23" s="3">
        <v>18</v>
      </c>
      <c r="D23" s="5"/>
      <c r="G23" s="5"/>
    </row>
    <row r="24" spans="1:34" x14ac:dyDescent="0.25">
      <c r="B24" s="11" t="s">
        <v>33</v>
      </c>
      <c r="C24" s="3">
        <v>16</v>
      </c>
      <c r="D24" s="5"/>
      <c r="G24" s="5"/>
    </row>
    <row r="25" spans="1:34" x14ac:dyDescent="0.25">
      <c r="B25" s="11" t="s">
        <v>32</v>
      </c>
      <c r="C25" s="10">
        <v>14</v>
      </c>
      <c r="D25" s="5"/>
      <c r="G25" s="5"/>
    </row>
    <row r="26" spans="1:34" x14ac:dyDescent="0.25">
      <c r="B26" s="11" t="s">
        <v>31</v>
      </c>
      <c r="C26" s="3">
        <v>12</v>
      </c>
    </row>
    <row r="27" spans="1:34" x14ac:dyDescent="0.25">
      <c r="B27" s="11" t="s">
        <v>37</v>
      </c>
      <c r="C27" s="3">
        <v>10</v>
      </c>
    </row>
  </sheetData>
  <mergeCells count="15">
    <mergeCell ref="J9:J12"/>
    <mergeCell ref="A1:I1"/>
    <mergeCell ref="X9:X11"/>
    <mergeCell ref="X14:X15"/>
    <mergeCell ref="AA14:AG14"/>
    <mergeCell ref="AA15:AG15"/>
    <mergeCell ref="Q5:S5"/>
    <mergeCell ref="T5:V5"/>
    <mergeCell ref="P1:V1"/>
    <mergeCell ref="AO5:AP5"/>
    <mergeCell ref="AM1:AV1"/>
    <mergeCell ref="AQ5:AV5"/>
    <mergeCell ref="AE17:AE18"/>
    <mergeCell ref="X1:AK1"/>
    <mergeCell ref="AM9:AM11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A91A6-453C-4875-BF81-E3488B73ACF3}">
  <dimension ref="A1:AZ27"/>
  <sheetViews>
    <sheetView zoomScale="115" zoomScaleNormal="115" workbookViewId="0">
      <selection activeCell="J19" sqref="J19"/>
    </sheetView>
  </sheetViews>
  <sheetFormatPr baseColWidth="10" defaultRowHeight="15" x14ac:dyDescent="0.25"/>
  <cols>
    <col min="1" max="1" width="11.42578125" style="3"/>
    <col min="2" max="2" width="9.5703125" style="3" customWidth="1"/>
    <col min="3" max="3" width="10.7109375" style="3" customWidth="1"/>
    <col min="4" max="4" width="10.42578125" style="3" customWidth="1"/>
    <col min="5" max="5" width="7.28515625" style="3" bestFit="1" customWidth="1"/>
    <col min="6" max="6" width="9.140625" style="3" bestFit="1" customWidth="1"/>
    <col min="7" max="7" width="10.5703125" style="3" bestFit="1" customWidth="1"/>
    <col min="8" max="9" width="12.5703125" style="3" customWidth="1"/>
    <col min="10" max="10" width="59.28515625" style="3" customWidth="1"/>
    <col min="11" max="11" width="39.5703125" style="6" bestFit="1" customWidth="1"/>
    <col min="12" max="12" width="13.28515625" style="3" customWidth="1"/>
    <col min="13" max="14" width="20.140625" style="3" customWidth="1"/>
    <col min="15" max="15" width="1.5703125" style="3" customWidth="1"/>
    <col min="16" max="17" width="11.42578125" style="3"/>
    <col min="18" max="18" width="16" style="3" bestFit="1" customWidth="1"/>
    <col min="19" max="19" width="15.42578125" style="3" bestFit="1" customWidth="1"/>
    <col min="20" max="20" width="16" style="3" bestFit="1" customWidth="1"/>
    <col min="21" max="21" width="19" style="3" customWidth="1"/>
    <col min="22" max="22" width="17.85546875" style="3" customWidth="1"/>
    <col min="23" max="23" width="1.5703125" style="3" customWidth="1"/>
    <col min="24" max="24" width="4.28515625" style="83" bestFit="1" customWidth="1"/>
    <col min="25" max="25" width="16.28515625" style="3" customWidth="1"/>
    <col min="26" max="28" width="16.140625" style="3" customWidth="1"/>
    <col min="29" max="31" width="11.42578125" style="3"/>
    <col min="32" max="32" width="22.7109375" style="3" bestFit="1" customWidth="1"/>
    <col min="33" max="37" width="11.42578125" style="3"/>
    <col min="38" max="38" width="2.5703125" style="3" customWidth="1"/>
    <col min="39" max="39" width="13.140625" style="3" customWidth="1"/>
    <col min="40" max="40" width="14.85546875" style="3" customWidth="1"/>
    <col min="41" max="42" width="16.7109375" style="3" customWidth="1"/>
    <col min="43" max="43" width="5.42578125" style="3" customWidth="1"/>
    <col min="44" max="44" width="11.85546875" style="3" customWidth="1"/>
    <col min="45" max="16384" width="11.42578125" style="3"/>
  </cols>
  <sheetData>
    <row r="1" spans="1:52" ht="86.25" customHeight="1" thickTop="1" thickBot="1" x14ac:dyDescent="0.3">
      <c r="A1" s="178" t="s">
        <v>81</v>
      </c>
      <c r="B1" s="179"/>
      <c r="C1" s="179"/>
      <c r="D1" s="179"/>
      <c r="E1" s="179"/>
      <c r="F1" s="179"/>
      <c r="G1" s="179"/>
      <c r="H1" s="179"/>
      <c r="I1" s="180"/>
      <c r="P1" s="171" t="s">
        <v>84</v>
      </c>
      <c r="Q1" s="172"/>
      <c r="R1" s="172"/>
      <c r="S1" s="172"/>
      <c r="T1" s="172"/>
      <c r="U1" s="172"/>
      <c r="V1" s="197"/>
      <c r="X1" s="178" t="s">
        <v>77</v>
      </c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80"/>
      <c r="AM1" s="171" t="s">
        <v>93</v>
      </c>
      <c r="AN1" s="172"/>
      <c r="AO1" s="172"/>
      <c r="AP1" s="172"/>
      <c r="AQ1" s="172"/>
      <c r="AR1" s="172"/>
      <c r="AS1" s="172"/>
      <c r="AT1" s="172"/>
      <c r="AU1" s="172"/>
      <c r="AV1" s="197"/>
      <c r="AW1" s="134"/>
      <c r="AX1" s="134"/>
      <c r="AY1" s="134"/>
      <c r="AZ1" s="134"/>
    </row>
    <row r="2" spans="1:52" ht="7.5" customHeight="1" thickTop="1" x14ac:dyDescent="0.25">
      <c r="P2" s="10"/>
      <c r="Q2" s="10"/>
      <c r="R2" s="10"/>
      <c r="S2" s="10"/>
      <c r="T2" s="10"/>
      <c r="U2" s="10"/>
      <c r="V2" s="10"/>
    </row>
    <row r="3" spans="1:52" x14ac:dyDescent="0.25">
      <c r="P3" s="10"/>
      <c r="Q3" s="10"/>
      <c r="R3" s="10"/>
      <c r="S3" s="10"/>
      <c r="T3" s="10"/>
      <c r="U3" s="10"/>
      <c r="V3" s="10"/>
    </row>
    <row r="4" spans="1:52" ht="15.75" thickBot="1" x14ac:dyDescent="0.3">
      <c r="A4" s="7" t="s">
        <v>21</v>
      </c>
      <c r="B4" s="8" t="s">
        <v>45</v>
      </c>
      <c r="C4" s="4"/>
      <c r="D4" s="4"/>
      <c r="E4" s="4"/>
      <c r="F4" s="4"/>
      <c r="H4" s="9" t="s">
        <v>23</v>
      </c>
      <c r="I4" s="72"/>
      <c r="P4" s="10"/>
      <c r="Q4" s="10"/>
      <c r="R4" s="10"/>
      <c r="S4" s="10"/>
      <c r="T4" s="10"/>
      <c r="U4" s="10"/>
      <c r="V4" s="10"/>
      <c r="Y4" s="7" t="s">
        <v>21</v>
      </c>
      <c r="Z4" s="81" t="s">
        <v>72</v>
      </c>
      <c r="AA4" s="81"/>
      <c r="AB4" s="81"/>
      <c r="AC4" s="9" t="s">
        <v>23</v>
      </c>
      <c r="AD4" s="72"/>
      <c r="AE4" s="82" t="s">
        <v>74</v>
      </c>
    </row>
    <row r="5" spans="1:52" ht="16.5" thickTop="1" thickBot="1" x14ac:dyDescent="0.3">
      <c r="P5" s="10"/>
      <c r="Q5" s="193" t="s">
        <v>82</v>
      </c>
      <c r="R5" s="194"/>
      <c r="S5" s="195"/>
      <c r="T5" s="193" t="s">
        <v>83</v>
      </c>
      <c r="U5" s="194"/>
      <c r="V5" s="196"/>
      <c r="AO5" s="170" t="s">
        <v>85</v>
      </c>
      <c r="AP5" s="170"/>
      <c r="AQ5" s="173" t="s">
        <v>83</v>
      </c>
      <c r="AR5" s="174"/>
      <c r="AS5" s="174"/>
      <c r="AT5" s="174"/>
      <c r="AU5" s="174"/>
      <c r="AV5" s="175"/>
    </row>
    <row r="6" spans="1:52" s="1" customFormat="1" ht="78.75" customHeight="1" thickTop="1" x14ac:dyDescent="0.25">
      <c r="A6" s="36"/>
      <c r="B6" s="13" t="s">
        <v>3</v>
      </c>
      <c r="C6" s="14" t="s">
        <v>4</v>
      </c>
      <c r="D6" s="14" t="s">
        <v>6</v>
      </c>
      <c r="E6" s="14" t="s">
        <v>16</v>
      </c>
      <c r="F6" s="14" t="s">
        <v>30</v>
      </c>
      <c r="G6" s="14" t="s">
        <v>10</v>
      </c>
      <c r="H6" s="14" t="s">
        <v>13</v>
      </c>
      <c r="I6" s="15" t="s">
        <v>14</v>
      </c>
      <c r="J6" s="39" t="s">
        <v>28</v>
      </c>
      <c r="K6" s="61" t="s">
        <v>27</v>
      </c>
      <c r="L6" s="13" t="s">
        <v>44</v>
      </c>
      <c r="M6" s="15" t="s">
        <v>42</v>
      </c>
      <c r="N6" s="15" t="s">
        <v>64</v>
      </c>
      <c r="P6" s="36"/>
      <c r="Q6" s="13" t="s">
        <v>6</v>
      </c>
      <c r="R6" s="14" t="s">
        <v>42</v>
      </c>
      <c r="S6" s="15" t="s">
        <v>64</v>
      </c>
      <c r="T6" s="13" t="s">
        <v>6</v>
      </c>
      <c r="U6" s="14" t="s">
        <v>42</v>
      </c>
      <c r="V6" s="15" t="s">
        <v>64</v>
      </c>
      <c r="X6" s="142"/>
      <c r="Y6" s="128"/>
      <c r="Z6" s="13" t="str">
        <f>D6</f>
        <v>débit volumique</v>
      </c>
      <c r="AA6" s="14" t="str">
        <f>M6</f>
        <v>diamètre extérieur retenu dans la gamme de diamètres commercialisés</v>
      </c>
      <c r="AB6" s="15" t="s">
        <v>64</v>
      </c>
      <c r="AC6" s="143" t="s">
        <v>47</v>
      </c>
      <c r="AD6" s="14" t="s">
        <v>73</v>
      </c>
      <c r="AE6" s="14" t="s">
        <v>51</v>
      </c>
      <c r="AF6" s="14" t="s">
        <v>53</v>
      </c>
      <c r="AG6" s="128" t="s">
        <v>55</v>
      </c>
      <c r="AH6" s="144" t="s">
        <v>57</v>
      </c>
      <c r="AI6" s="143" t="s">
        <v>60</v>
      </c>
      <c r="AJ6" s="14" t="s">
        <v>61</v>
      </c>
      <c r="AK6" s="15" t="s">
        <v>62</v>
      </c>
      <c r="AM6" s="142"/>
      <c r="AN6" s="128"/>
      <c r="AO6" s="13" t="s">
        <v>47</v>
      </c>
      <c r="AP6" s="128" t="s">
        <v>51</v>
      </c>
      <c r="AQ6" s="13"/>
      <c r="AR6" s="14" t="s">
        <v>94</v>
      </c>
      <c r="AS6" s="14" t="s">
        <v>91</v>
      </c>
      <c r="AT6" s="14" t="s">
        <v>92</v>
      </c>
      <c r="AU6" s="14" t="s">
        <v>57</v>
      </c>
      <c r="AV6" s="15" t="s">
        <v>57</v>
      </c>
    </row>
    <row r="7" spans="1:52" s="2" customFormat="1" ht="18" x14ac:dyDescent="0.25">
      <c r="A7" s="37"/>
      <c r="B7" s="16" t="s">
        <v>1</v>
      </c>
      <c r="C7" s="18" t="s">
        <v>8</v>
      </c>
      <c r="D7" s="17" t="s">
        <v>7</v>
      </c>
      <c r="E7" s="17" t="s">
        <v>17</v>
      </c>
      <c r="F7" s="17" t="s">
        <v>40</v>
      </c>
      <c r="G7" s="17" t="s">
        <v>9</v>
      </c>
      <c r="H7" s="17" t="s">
        <v>11</v>
      </c>
      <c r="I7" s="19" t="s">
        <v>12</v>
      </c>
      <c r="J7" s="40"/>
      <c r="K7" s="62"/>
      <c r="L7" s="16" t="s">
        <v>41</v>
      </c>
      <c r="M7" s="19" t="s">
        <v>41</v>
      </c>
      <c r="N7" s="19" t="s">
        <v>17</v>
      </c>
      <c r="P7" s="37"/>
      <c r="Q7" s="16" t="s">
        <v>7</v>
      </c>
      <c r="R7" s="17" t="s">
        <v>41</v>
      </c>
      <c r="S7" s="19" t="s">
        <v>17</v>
      </c>
      <c r="T7" s="16" t="s">
        <v>7</v>
      </c>
      <c r="U7" s="17" t="s">
        <v>41</v>
      </c>
      <c r="V7" s="19" t="s">
        <v>17</v>
      </c>
      <c r="X7" s="145"/>
      <c r="Y7" s="129"/>
      <c r="Z7" s="16" t="s">
        <v>7</v>
      </c>
      <c r="AA7" s="17" t="s">
        <v>41</v>
      </c>
      <c r="AB7" s="19" t="s">
        <v>17</v>
      </c>
      <c r="AC7" s="40" t="s">
        <v>46</v>
      </c>
      <c r="AD7" s="17" t="s">
        <v>49</v>
      </c>
      <c r="AE7" s="17" t="s">
        <v>52</v>
      </c>
      <c r="AF7" s="146" t="s">
        <v>54</v>
      </c>
      <c r="AG7" s="147" t="s">
        <v>56</v>
      </c>
      <c r="AH7" s="148" t="s">
        <v>59</v>
      </c>
      <c r="AI7" s="40"/>
      <c r="AJ7" s="17"/>
      <c r="AK7" s="19"/>
      <c r="AM7" s="145"/>
      <c r="AN7" s="129"/>
      <c r="AO7" s="16" t="s">
        <v>46</v>
      </c>
      <c r="AP7" s="129" t="s">
        <v>52</v>
      </c>
      <c r="AQ7" s="16"/>
      <c r="AR7" s="17" t="s">
        <v>46</v>
      </c>
      <c r="AS7" s="146" t="s">
        <v>59</v>
      </c>
      <c r="AT7" s="146" t="s">
        <v>59</v>
      </c>
      <c r="AU7" s="146" t="s">
        <v>59</v>
      </c>
      <c r="AV7" s="158" t="s">
        <v>59</v>
      </c>
    </row>
    <row r="8" spans="1:52" ht="15.75" thickBot="1" x14ac:dyDescent="0.3">
      <c r="A8" s="38" t="s">
        <v>0</v>
      </c>
      <c r="B8" s="33" t="s">
        <v>2</v>
      </c>
      <c r="C8" s="34" t="s">
        <v>5</v>
      </c>
      <c r="D8" s="34" t="s">
        <v>19</v>
      </c>
      <c r="E8" s="34" t="s">
        <v>18</v>
      </c>
      <c r="F8" s="34" t="s">
        <v>20</v>
      </c>
      <c r="G8" s="34" t="s">
        <v>22</v>
      </c>
      <c r="H8" s="34" t="s">
        <v>15</v>
      </c>
      <c r="I8" s="35" t="s">
        <v>15</v>
      </c>
      <c r="J8" s="41"/>
      <c r="K8" s="63"/>
      <c r="L8" s="33" t="s">
        <v>20</v>
      </c>
      <c r="M8" s="35" t="s">
        <v>20</v>
      </c>
      <c r="N8" s="35" t="s">
        <v>18</v>
      </c>
      <c r="P8" s="38" t="s">
        <v>0</v>
      </c>
      <c r="Q8" s="33" t="s">
        <v>19</v>
      </c>
      <c r="R8" s="34" t="s">
        <v>20</v>
      </c>
      <c r="S8" s="35" t="s">
        <v>18</v>
      </c>
      <c r="T8" s="33" t="s">
        <v>19</v>
      </c>
      <c r="U8" s="34" t="s">
        <v>20</v>
      </c>
      <c r="V8" s="35" t="s">
        <v>18</v>
      </c>
      <c r="X8" s="149"/>
      <c r="Y8" s="130"/>
      <c r="Z8" s="33" t="s">
        <v>19</v>
      </c>
      <c r="AA8" s="34" t="s">
        <v>20</v>
      </c>
      <c r="AB8" s="35" t="s">
        <v>18</v>
      </c>
      <c r="AC8" s="41" t="s">
        <v>48</v>
      </c>
      <c r="AD8" s="34" t="s">
        <v>50</v>
      </c>
      <c r="AE8" s="34" t="s">
        <v>58</v>
      </c>
      <c r="AF8" s="34" t="s">
        <v>58</v>
      </c>
      <c r="AG8" s="130" t="s">
        <v>58</v>
      </c>
      <c r="AH8" s="150" t="s">
        <v>58</v>
      </c>
      <c r="AI8" s="41" t="s">
        <v>58</v>
      </c>
      <c r="AJ8" s="34" t="s">
        <v>58</v>
      </c>
      <c r="AK8" s="35" t="s">
        <v>63</v>
      </c>
      <c r="AM8" s="149"/>
      <c r="AN8" s="130"/>
      <c r="AO8" s="33" t="s">
        <v>48</v>
      </c>
      <c r="AP8" s="130" t="s">
        <v>58</v>
      </c>
      <c r="AQ8" s="33"/>
      <c r="AR8" s="34" t="s">
        <v>48</v>
      </c>
      <c r="AS8" s="34" t="s">
        <v>58</v>
      </c>
      <c r="AT8" s="34" t="s">
        <v>58</v>
      </c>
      <c r="AU8" s="34" t="s">
        <v>58</v>
      </c>
      <c r="AV8" s="35" t="s">
        <v>58</v>
      </c>
    </row>
    <row r="9" spans="1:52" ht="18.75" customHeight="1" thickTop="1" x14ac:dyDescent="0.25">
      <c r="A9" s="42" t="s">
        <v>43</v>
      </c>
      <c r="B9" s="49">
        <v>10000</v>
      </c>
      <c r="C9" s="50">
        <v>975</v>
      </c>
      <c r="D9" s="51"/>
      <c r="E9" s="52">
        <v>1</v>
      </c>
      <c r="F9" s="73"/>
      <c r="G9" s="50">
        <v>4180</v>
      </c>
      <c r="H9" s="52">
        <v>80</v>
      </c>
      <c r="I9" s="53">
        <v>60</v>
      </c>
      <c r="J9" s="184"/>
      <c r="K9" s="64"/>
      <c r="L9" s="77"/>
      <c r="M9" s="69"/>
      <c r="N9" s="124"/>
      <c r="P9" s="42" t="s">
        <v>43</v>
      </c>
      <c r="Q9" s="135"/>
      <c r="R9" s="121"/>
      <c r="S9" s="131"/>
      <c r="T9" s="135"/>
      <c r="U9" s="121"/>
      <c r="V9" s="131"/>
      <c r="X9" s="181" t="s">
        <v>75</v>
      </c>
      <c r="Y9" s="98" t="s">
        <v>66</v>
      </c>
      <c r="Z9" s="49"/>
      <c r="AA9" s="50"/>
      <c r="AB9" s="140"/>
      <c r="AC9" s="99"/>
      <c r="AD9" s="94"/>
      <c r="AE9" s="95"/>
      <c r="AF9" s="95"/>
      <c r="AG9" s="102"/>
      <c r="AH9" s="108"/>
      <c r="AI9" s="105"/>
      <c r="AJ9" s="96"/>
      <c r="AK9" s="97"/>
      <c r="AM9" s="181" t="s">
        <v>75</v>
      </c>
      <c r="AN9" s="98" t="s">
        <v>66</v>
      </c>
      <c r="AO9" s="151"/>
      <c r="AP9" s="159"/>
      <c r="AQ9" s="162"/>
      <c r="AR9" s="163"/>
      <c r="AS9" s="168"/>
      <c r="AT9" s="168"/>
      <c r="AU9" s="168"/>
      <c r="AV9" s="152"/>
    </row>
    <row r="10" spans="1:52" ht="18" x14ac:dyDescent="0.25">
      <c r="A10" s="43">
        <v>2</v>
      </c>
      <c r="B10" s="54">
        <v>10000</v>
      </c>
      <c r="C10" s="20">
        <v>975</v>
      </c>
      <c r="D10" s="21"/>
      <c r="E10" s="22">
        <v>1</v>
      </c>
      <c r="F10" s="74"/>
      <c r="G10" s="20">
        <v>4180</v>
      </c>
      <c r="H10" s="23">
        <v>70</v>
      </c>
      <c r="I10" s="55">
        <v>60</v>
      </c>
      <c r="J10" s="185"/>
      <c r="K10" s="65"/>
      <c r="L10" s="78"/>
      <c r="M10" s="70"/>
      <c r="N10" s="125"/>
      <c r="P10" s="43">
        <v>2</v>
      </c>
      <c r="Q10" s="136"/>
      <c r="R10" s="122"/>
      <c r="S10" s="132"/>
      <c r="T10" s="136"/>
      <c r="U10" s="122"/>
      <c r="V10" s="132"/>
      <c r="X10" s="182"/>
      <c r="Y10" s="67" t="s">
        <v>67</v>
      </c>
      <c r="Z10" s="54"/>
      <c r="AA10" s="20"/>
      <c r="AB10" s="140"/>
      <c r="AC10" s="100"/>
      <c r="AD10" s="85"/>
      <c r="AE10" s="86"/>
      <c r="AF10" s="86"/>
      <c r="AG10" s="103"/>
      <c r="AH10" s="109"/>
      <c r="AI10" s="106"/>
      <c r="AJ10" s="87"/>
      <c r="AK10" s="88"/>
      <c r="AM10" s="182"/>
      <c r="AN10" s="67" t="s">
        <v>67</v>
      </c>
      <c r="AO10" s="153"/>
      <c r="AP10" s="160"/>
      <c r="AQ10" s="164"/>
      <c r="AR10" s="165"/>
      <c r="AS10" s="165"/>
      <c r="AT10" s="165"/>
      <c r="AU10" s="165"/>
      <c r="AV10" s="154"/>
    </row>
    <row r="11" spans="1:52" ht="15.75" thickBot="1" x14ac:dyDescent="0.3">
      <c r="A11" s="43">
        <v>3</v>
      </c>
      <c r="B11" s="56">
        <v>5000</v>
      </c>
      <c r="C11" s="20">
        <v>975</v>
      </c>
      <c r="D11" s="21"/>
      <c r="E11" s="22">
        <v>1</v>
      </c>
      <c r="F11" s="74"/>
      <c r="G11" s="20">
        <v>4180</v>
      </c>
      <c r="H11" s="24">
        <v>80</v>
      </c>
      <c r="I11" s="55">
        <v>60</v>
      </c>
      <c r="J11" s="185"/>
      <c r="K11" s="65"/>
      <c r="L11" s="78"/>
      <c r="M11" s="70"/>
      <c r="N11" s="125"/>
      <c r="P11" s="43">
        <v>3</v>
      </c>
      <c r="Q11" s="136"/>
      <c r="R11" s="122"/>
      <c r="S11" s="132"/>
      <c r="T11" s="136"/>
      <c r="U11" s="122"/>
      <c r="V11" s="132"/>
      <c r="X11" s="183"/>
      <c r="Y11" s="68" t="s">
        <v>65</v>
      </c>
      <c r="Z11" s="59"/>
      <c r="AA11" s="29"/>
      <c r="AB11" s="141"/>
      <c r="AC11" s="101"/>
      <c r="AD11" s="90"/>
      <c r="AE11" s="91"/>
      <c r="AF11" s="91"/>
      <c r="AG11" s="104"/>
      <c r="AH11" s="110"/>
      <c r="AI11" s="107"/>
      <c r="AJ11" s="92"/>
      <c r="AK11" s="93"/>
      <c r="AM11" s="183"/>
      <c r="AN11" s="169" t="s">
        <v>65</v>
      </c>
      <c r="AO11" s="155"/>
      <c r="AP11" s="161"/>
      <c r="AQ11" s="166"/>
      <c r="AR11" s="167"/>
      <c r="AS11" s="167"/>
      <c r="AT11" s="167"/>
      <c r="AU11" s="167"/>
      <c r="AV11" s="156"/>
    </row>
    <row r="12" spans="1:52" ht="15.75" thickTop="1" x14ac:dyDescent="0.25">
      <c r="A12" s="43">
        <f t="shared" ref="A12:A17" si="0">A11+1</f>
        <v>4</v>
      </c>
      <c r="B12" s="54">
        <v>10000</v>
      </c>
      <c r="C12" s="20">
        <v>975</v>
      </c>
      <c r="D12" s="21"/>
      <c r="E12" s="23">
        <v>0.5</v>
      </c>
      <c r="F12" s="74"/>
      <c r="G12" s="20">
        <v>4180</v>
      </c>
      <c r="H12" s="24">
        <v>80</v>
      </c>
      <c r="I12" s="55">
        <v>60</v>
      </c>
      <c r="J12" s="185"/>
      <c r="K12" s="65"/>
      <c r="L12" s="78"/>
      <c r="M12" s="70"/>
      <c r="N12" s="125"/>
      <c r="P12" s="43">
        <f t="shared" ref="P12:P17" si="1">P11+1</f>
        <v>4</v>
      </c>
      <c r="Q12" s="136"/>
      <c r="R12" s="122"/>
      <c r="S12" s="132"/>
      <c r="T12" s="136"/>
      <c r="U12" s="122"/>
      <c r="V12" s="132"/>
    </row>
    <row r="13" spans="1:52" s="10" customFormat="1" ht="6.75" customHeight="1" thickBot="1" x14ac:dyDescent="0.3">
      <c r="A13" s="44"/>
      <c r="B13" s="57"/>
      <c r="C13" s="25"/>
      <c r="D13" s="26"/>
      <c r="E13" s="27"/>
      <c r="F13" s="75"/>
      <c r="G13" s="25"/>
      <c r="H13" s="27"/>
      <c r="I13" s="58"/>
      <c r="J13" s="46"/>
      <c r="K13" s="66"/>
      <c r="L13" s="79"/>
      <c r="M13" s="28"/>
      <c r="N13" s="126"/>
      <c r="P13" s="44"/>
      <c r="Q13" s="137"/>
      <c r="R13" s="26"/>
      <c r="S13" s="126"/>
      <c r="T13" s="137"/>
      <c r="U13" s="26"/>
      <c r="V13" s="126"/>
      <c r="X13" s="84"/>
      <c r="AD13" s="12"/>
    </row>
    <row r="14" spans="1:52" ht="16.5" customHeight="1" thickTop="1" x14ac:dyDescent="0.25">
      <c r="A14" s="43">
        <f>A12+1</f>
        <v>5</v>
      </c>
      <c r="B14" s="54">
        <v>20000</v>
      </c>
      <c r="C14" s="20">
        <v>975</v>
      </c>
      <c r="D14" s="21"/>
      <c r="E14" s="22">
        <v>1</v>
      </c>
      <c r="F14" s="74"/>
      <c r="G14" s="20">
        <v>4180</v>
      </c>
      <c r="H14" s="22">
        <v>80</v>
      </c>
      <c r="I14" s="55">
        <v>60</v>
      </c>
      <c r="J14" s="47"/>
      <c r="K14" s="67"/>
      <c r="L14" s="78"/>
      <c r="M14" s="70"/>
      <c r="N14" s="125"/>
      <c r="P14" s="43">
        <f>P12+1</f>
        <v>5</v>
      </c>
      <c r="Q14" s="136"/>
      <c r="R14" s="122"/>
      <c r="S14" s="132"/>
      <c r="T14" s="136"/>
      <c r="U14" s="122"/>
      <c r="V14" s="132"/>
      <c r="X14" s="186" t="s">
        <v>76</v>
      </c>
      <c r="Y14" s="111" t="s">
        <v>68</v>
      </c>
      <c r="Z14" s="111" t="s">
        <v>70</v>
      </c>
      <c r="AA14" s="187"/>
      <c r="AB14" s="188"/>
      <c r="AC14" s="188"/>
      <c r="AD14" s="188"/>
      <c r="AE14" s="188"/>
      <c r="AF14" s="188"/>
      <c r="AG14" s="189"/>
      <c r="AH14" s="112"/>
      <c r="AI14" s="113"/>
    </row>
    <row r="15" spans="1:52" ht="18.75" thickBot="1" x14ac:dyDescent="0.3">
      <c r="A15" s="43">
        <f t="shared" si="0"/>
        <v>6</v>
      </c>
      <c r="B15" s="54">
        <v>20000</v>
      </c>
      <c r="C15" s="20">
        <v>975</v>
      </c>
      <c r="D15" s="21"/>
      <c r="E15" s="22">
        <v>1</v>
      </c>
      <c r="F15" s="74"/>
      <c r="G15" s="20">
        <v>4180</v>
      </c>
      <c r="H15" s="23">
        <v>70</v>
      </c>
      <c r="I15" s="55">
        <v>60</v>
      </c>
      <c r="J15" s="47"/>
      <c r="K15" s="67"/>
      <c r="L15" s="78"/>
      <c r="M15" s="70"/>
      <c r="N15" s="125"/>
      <c r="P15" s="43">
        <f t="shared" si="1"/>
        <v>6</v>
      </c>
      <c r="Q15" s="136"/>
      <c r="R15" s="122"/>
      <c r="S15" s="132"/>
      <c r="T15" s="136"/>
      <c r="U15" s="122"/>
      <c r="V15" s="132"/>
      <c r="X15" s="183"/>
      <c r="Y15" s="89" t="s">
        <v>69</v>
      </c>
      <c r="Z15" s="89" t="s">
        <v>71</v>
      </c>
      <c r="AA15" s="190"/>
      <c r="AB15" s="191"/>
      <c r="AC15" s="191"/>
      <c r="AD15" s="191"/>
      <c r="AE15" s="191"/>
      <c r="AF15" s="191"/>
      <c r="AG15" s="192"/>
      <c r="AH15" s="114"/>
      <c r="AI15" s="115"/>
    </row>
    <row r="16" spans="1:52" ht="16.5" thickTop="1" thickBot="1" x14ac:dyDescent="0.3">
      <c r="A16" s="43">
        <f t="shared" si="0"/>
        <v>7</v>
      </c>
      <c r="B16" s="56">
        <v>10000</v>
      </c>
      <c r="C16" s="20">
        <v>975</v>
      </c>
      <c r="D16" s="21"/>
      <c r="E16" s="22">
        <v>1</v>
      </c>
      <c r="F16" s="74"/>
      <c r="G16" s="20">
        <v>4180</v>
      </c>
      <c r="H16" s="24">
        <v>80</v>
      </c>
      <c r="I16" s="55">
        <v>60</v>
      </c>
      <c r="J16" s="47"/>
      <c r="K16" s="67"/>
      <c r="L16" s="78"/>
      <c r="M16" s="70"/>
      <c r="N16" s="125"/>
      <c r="P16" s="43">
        <f t="shared" si="1"/>
        <v>7</v>
      </c>
      <c r="Q16" s="136"/>
      <c r="R16" s="122"/>
      <c r="S16" s="132"/>
      <c r="T16" s="136"/>
      <c r="U16" s="122"/>
      <c r="V16" s="132"/>
    </row>
    <row r="17" spans="1:34" ht="16.5" thickTop="1" thickBot="1" x14ac:dyDescent="0.3">
      <c r="A17" s="45">
        <f t="shared" si="0"/>
        <v>8</v>
      </c>
      <c r="B17" s="59">
        <v>20000</v>
      </c>
      <c r="C17" s="29">
        <v>975</v>
      </c>
      <c r="D17" s="30"/>
      <c r="E17" s="31">
        <v>0.5</v>
      </c>
      <c r="F17" s="76"/>
      <c r="G17" s="29">
        <v>4180</v>
      </c>
      <c r="H17" s="32">
        <v>80</v>
      </c>
      <c r="I17" s="60">
        <v>60</v>
      </c>
      <c r="J17" s="48"/>
      <c r="K17" s="68"/>
      <c r="L17" s="80"/>
      <c r="M17" s="71"/>
      <c r="N17" s="127"/>
      <c r="P17" s="45">
        <f t="shared" si="1"/>
        <v>8</v>
      </c>
      <c r="Q17" s="138"/>
      <c r="R17" s="123"/>
      <c r="S17" s="133"/>
      <c r="T17" s="138"/>
      <c r="U17" s="123"/>
      <c r="V17" s="133"/>
      <c r="AE17" s="176" t="s">
        <v>79</v>
      </c>
      <c r="AF17" s="52" t="s">
        <v>7</v>
      </c>
      <c r="AG17" s="117" t="s">
        <v>80</v>
      </c>
      <c r="AH17" s="119"/>
    </row>
    <row r="18" spans="1:34" ht="16.5" thickTop="1" thickBot="1" x14ac:dyDescent="0.3">
      <c r="B18" s="5"/>
      <c r="C18" s="5"/>
      <c r="D18" s="5"/>
      <c r="G18" s="5"/>
      <c r="P18" s="10"/>
      <c r="Q18" s="10"/>
      <c r="R18" s="10"/>
      <c r="S18" s="10"/>
      <c r="T18" s="10"/>
      <c r="U18" s="10"/>
      <c r="V18" s="10"/>
      <c r="AE18" s="177"/>
      <c r="AF18" s="116" t="s">
        <v>78</v>
      </c>
      <c r="AG18" s="118" t="s">
        <v>95</v>
      </c>
      <c r="AH18" s="120"/>
    </row>
    <row r="19" spans="1:34" ht="45.75" thickTop="1" x14ac:dyDescent="0.25">
      <c r="A19" s="6" t="s">
        <v>39</v>
      </c>
      <c r="B19" s="5"/>
      <c r="C19" s="1" t="s">
        <v>29</v>
      </c>
      <c r="D19" s="5"/>
      <c r="G19" s="5"/>
    </row>
    <row r="20" spans="1:34" x14ac:dyDescent="0.25">
      <c r="B20" s="11" t="s">
        <v>38</v>
      </c>
      <c r="C20" s="3">
        <v>32</v>
      </c>
      <c r="D20" s="5"/>
      <c r="G20" s="5"/>
    </row>
    <row r="21" spans="1:34" x14ac:dyDescent="0.25">
      <c r="B21" s="11" t="s">
        <v>36</v>
      </c>
      <c r="C21" s="3">
        <v>28</v>
      </c>
      <c r="D21" s="5"/>
      <c r="G21" s="5"/>
    </row>
    <row r="22" spans="1:34" x14ac:dyDescent="0.25">
      <c r="B22" s="11" t="s">
        <v>35</v>
      </c>
      <c r="C22" s="3">
        <v>22</v>
      </c>
      <c r="D22" s="5"/>
      <c r="G22" s="5"/>
    </row>
    <row r="23" spans="1:34" x14ac:dyDescent="0.25">
      <c r="B23" s="11" t="s">
        <v>34</v>
      </c>
      <c r="C23" s="3">
        <v>18</v>
      </c>
      <c r="D23" s="5"/>
      <c r="G23" s="5"/>
    </row>
    <row r="24" spans="1:34" x14ac:dyDescent="0.25">
      <c r="B24" s="11" t="s">
        <v>33</v>
      </c>
      <c r="C24" s="3">
        <v>16</v>
      </c>
      <c r="D24" s="5"/>
      <c r="G24" s="5"/>
    </row>
    <row r="25" spans="1:34" x14ac:dyDescent="0.25">
      <c r="B25" s="11" t="s">
        <v>32</v>
      </c>
      <c r="C25" s="10">
        <v>14</v>
      </c>
      <c r="D25" s="5"/>
      <c r="G25" s="5"/>
    </row>
    <row r="26" spans="1:34" x14ac:dyDescent="0.25">
      <c r="B26" s="11" t="s">
        <v>31</v>
      </c>
      <c r="C26" s="3">
        <v>12</v>
      </c>
    </row>
    <row r="27" spans="1:34" x14ac:dyDescent="0.25">
      <c r="B27" s="11" t="s">
        <v>37</v>
      </c>
      <c r="C27" s="3">
        <v>10</v>
      </c>
    </row>
  </sheetData>
  <mergeCells count="15">
    <mergeCell ref="A1:I1"/>
    <mergeCell ref="P1:V1"/>
    <mergeCell ref="X1:AK1"/>
    <mergeCell ref="Q5:S5"/>
    <mergeCell ref="T5:V5"/>
    <mergeCell ref="AO5:AP5"/>
    <mergeCell ref="AM1:AV1"/>
    <mergeCell ref="AQ5:AV5"/>
    <mergeCell ref="AE17:AE18"/>
    <mergeCell ref="J9:J12"/>
    <mergeCell ref="X9:X11"/>
    <mergeCell ref="AM9:AM11"/>
    <mergeCell ref="X14:X15"/>
    <mergeCell ref="AA14:AG14"/>
    <mergeCell ref="AA15:AG15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Dimensionnement corrigé</vt:lpstr>
      <vt:lpstr>Dimensionnement vierge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</dc:creator>
  <cp:lastModifiedBy>Xavier</cp:lastModifiedBy>
  <dcterms:created xsi:type="dcterms:W3CDTF">2020-02-06T14:45:39Z</dcterms:created>
  <dcterms:modified xsi:type="dcterms:W3CDTF">2020-03-10T11:51:28Z</dcterms:modified>
</cp:coreProperties>
</file>